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5480" windowHeight="10230" tabRatio="482"/>
  </bookViews>
  <sheets>
    <sheet name="органы управления " sheetId="9" r:id="rId1"/>
    <sheet name="образование+молодежка" sheetId="2" r:id="rId2"/>
    <sheet name="культура" sheetId="4" r:id="rId3"/>
    <sheet name="физ-ра" sheetId="6" r:id="rId4"/>
    <sheet name="прочие.." sheetId="7" r:id="rId5"/>
    <sheet name="свод приложение 6" sheetId="10" state="hidden" r:id="rId6"/>
  </sheets>
  <definedNames>
    <definedName name="_xlnm._FilterDatabase" localSheetId="0" hidden="1">'органы управления '!$A$19:$X$24</definedName>
    <definedName name="_xlnm.Print_Titles" localSheetId="1">'образование+молодежка'!$18:$18</definedName>
    <definedName name="_xlnm.Print_Area" localSheetId="2">культура!$A$1:$X$32</definedName>
    <definedName name="_xlnm.Print_Area" localSheetId="1">'образование+молодежка'!$B$1:$X$29</definedName>
    <definedName name="_xlnm.Print_Area" localSheetId="0">'органы управления '!$A$1:$X$24</definedName>
    <definedName name="_xlnm.Print_Area" localSheetId="4">прочие..!$A$2:$X$35</definedName>
  </definedNames>
  <calcPr calcId="125725" iterate="1"/>
</workbook>
</file>

<file path=xl/calcChain.xml><?xml version="1.0" encoding="utf-8"?>
<calcChain xmlns="http://schemas.openxmlformats.org/spreadsheetml/2006/main">
  <c r="G53" i="9"/>
  <c r="G52"/>
  <c r="Q62"/>
  <c r="I63"/>
  <c r="I62"/>
  <c r="R63"/>
  <c r="E53" i="7" l="1"/>
  <c r="F53"/>
  <c r="F52" s="1"/>
  <c r="G53"/>
  <c r="H53"/>
  <c r="H52" s="1"/>
  <c r="I53"/>
  <c r="J53"/>
  <c r="J52" s="1"/>
  <c r="K53"/>
  <c r="L53"/>
  <c r="L52" s="1"/>
  <c r="M53"/>
  <c r="N53"/>
  <c r="O53"/>
  <c r="P53"/>
  <c r="Q53"/>
  <c r="R53"/>
  <c r="S53"/>
  <c r="T53"/>
  <c r="U53"/>
  <c r="V53"/>
  <c r="W53"/>
  <c r="X53"/>
  <c r="D53"/>
  <c r="V52"/>
  <c r="W52"/>
  <c r="X52"/>
  <c r="D52"/>
  <c r="E52"/>
  <c r="G52"/>
  <c r="I52"/>
  <c r="K52"/>
  <c r="P52"/>
  <c r="Q52"/>
  <c r="R52"/>
  <c r="E180" i="9"/>
  <c r="F180"/>
  <c r="G180"/>
  <c r="H180"/>
  <c r="I180"/>
  <c r="U183"/>
  <c r="P183"/>
  <c r="U182"/>
  <c r="P182"/>
  <c r="S180"/>
  <c r="P180"/>
  <c r="M180"/>
  <c r="N130" l="1"/>
  <c r="O130"/>
  <c r="M133"/>
  <c r="N133"/>
  <c r="O133"/>
  <c r="M134"/>
  <c r="N134"/>
  <c r="O134"/>
  <c r="N132"/>
  <c r="O132"/>
  <c r="N86" i="7"/>
  <c r="O86"/>
  <c r="M86"/>
  <c r="O170" i="9"/>
  <c r="N170"/>
  <c r="M170"/>
  <c r="N173"/>
  <c r="N174"/>
  <c r="N172"/>
  <c r="O173"/>
  <c r="O174"/>
  <c r="O172"/>
  <c r="R133" l="1"/>
  <c r="Q133"/>
  <c r="P173"/>
  <c r="M173"/>
  <c r="U170"/>
  <c r="T170"/>
  <c r="R170"/>
  <c r="Q170"/>
  <c r="P170"/>
  <c r="M74" i="7" l="1"/>
  <c r="O144" i="9" l="1"/>
  <c r="N144"/>
  <c r="M144"/>
  <c r="O143"/>
  <c r="N143"/>
  <c r="M143"/>
  <c r="U142"/>
  <c r="U140" s="1"/>
  <c r="T142"/>
  <c r="O142"/>
  <c r="O140" s="1"/>
  <c r="N142"/>
  <c r="M142"/>
  <c r="M140" s="1"/>
  <c r="O141"/>
  <c r="N141"/>
  <c r="M141"/>
  <c r="X140"/>
  <c r="W140"/>
  <c r="V140"/>
  <c r="T140"/>
  <c r="S140"/>
  <c r="R140"/>
  <c r="Q140"/>
  <c r="P140"/>
  <c r="N140"/>
  <c r="E140"/>
  <c r="D140"/>
  <c r="M160"/>
  <c r="O164"/>
  <c r="N164"/>
  <c r="R163"/>
  <c r="O163" s="1"/>
  <c r="Q163"/>
  <c r="N163"/>
  <c r="O162"/>
  <c r="N162"/>
  <c r="U150" l="1"/>
  <c r="T150"/>
  <c r="R30" i="4"/>
  <c r="O30"/>
  <c r="N30"/>
  <c r="M30"/>
  <c r="I30"/>
  <c r="G30"/>
  <c r="G26" s="1"/>
  <c r="G24" s="1"/>
  <c r="G22" s="1"/>
  <c r="E30"/>
  <c r="O29"/>
  <c r="N29"/>
  <c r="M29"/>
  <c r="O28"/>
  <c r="N28"/>
  <c r="M28"/>
  <c r="O27"/>
  <c r="O26" s="1"/>
  <c r="O24" s="1"/>
  <c r="N27"/>
  <c r="M27"/>
  <c r="M26" s="1"/>
  <c r="X26"/>
  <c r="W26"/>
  <c r="W24" s="1"/>
  <c r="W22" s="1"/>
  <c r="V26"/>
  <c r="U26"/>
  <c r="U24" s="1"/>
  <c r="U22" s="1"/>
  <c r="T26"/>
  <c r="R26"/>
  <c r="R24" s="1"/>
  <c r="Q26"/>
  <c r="P26"/>
  <c r="P24" s="1"/>
  <c r="M24" s="1"/>
  <c r="N26"/>
  <c r="N24" s="1"/>
  <c r="L26"/>
  <c r="L24" s="1"/>
  <c r="L22" s="1"/>
  <c r="K26"/>
  <c r="J26"/>
  <c r="J24" s="1"/>
  <c r="J22" s="1"/>
  <c r="I26"/>
  <c r="H26"/>
  <c r="H24" s="1"/>
  <c r="H22" s="1"/>
  <c r="F26"/>
  <c r="F24" s="1"/>
  <c r="F22" s="1"/>
  <c r="E26"/>
  <c r="D26"/>
  <c r="D24" s="1"/>
  <c r="D22" s="1"/>
  <c r="O25"/>
  <c r="N25"/>
  <c r="M25"/>
  <c r="X24"/>
  <c r="V24"/>
  <c r="T24"/>
  <c r="T22" s="1"/>
  <c r="Q24"/>
  <c r="K24"/>
  <c r="K22" s="1"/>
  <c r="I24"/>
  <c r="I22" s="1"/>
  <c r="E24"/>
  <c r="E22" s="1"/>
  <c r="X23"/>
  <c r="R23" s="1"/>
  <c r="W23"/>
  <c r="V23"/>
  <c r="P23" s="1"/>
  <c r="Q23"/>
  <c r="N23" s="1"/>
  <c r="N22" s="1"/>
  <c r="V22"/>
  <c r="D55" i="2"/>
  <c r="O69"/>
  <c r="N69"/>
  <c r="M69"/>
  <c r="O68"/>
  <c r="N68"/>
  <c r="M68"/>
  <c r="O67"/>
  <c r="N67"/>
  <c r="M67"/>
  <c r="R66"/>
  <c r="O66"/>
  <c r="O64" s="1"/>
  <c r="N66"/>
  <c r="O65"/>
  <c r="N65"/>
  <c r="M65"/>
  <c r="X64"/>
  <c r="W64"/>
  <c r="V64"/>
  <c r="U64"/>
  <c r="T64"/>
  <c r="R64"/>
  <c r="Q64"/>
  <c r="P64"/>
  <c r="N64"/>
  <c r="L64"/>
  <c r="K64"/>
  <c r="J64"/>
  <c r="I64"/>
  <c r="H64"/>
  <c r="G64"/>
  <c r="F64"/>
  <c r="E64"/>
  <c r="D64"/>
  <c r="O63"/>
  <c r="N63"/>
  <c r="M63"/>
  <c r="X62"/>
  <c r="W62"/>
  <c r="V62"/>
  <c r="U62"/>
  <c r="T62"/>
  <c r="R62"/>
  <c r="Q62"/>
  <c r="P62"/>
  <c r="O62"/>
  <c r="N62"/>
  <c r="M62"/>
  <c r="L62"/>
  <c r="K62"/>
  <c r="J62"/>
  <c r="I62"/>
  <c r="H62"/>
  <c r="G62"/>
  <c r="F62"/>
  <c r="E62"/>
  <c r="D62"/>
  <c r="O61"/>
  <c r="N61"/>
  <c r="M61"/>
  <c r="X60"/>
  <c r="W60"/>
  <c r="V60"/>
  <c r="U60"/>
  <c r="T60"/>
  <c r="S60"/>
  <c r="S66" s="1"/>
  <c r="R60"/>
  <c r="O60" s="1"/>
  <c r="Q60"/>
  <c r="P60"/>
  <c r="N60"/>
  <c r="M60"/>
  <c r="L60"/>
  <c r="K60"/>
  <c r="J60"/>
  <c r="I60"/>
  <c r="H60"/>
  <c r="G60"/>
  <c r="F60"/>
  <c r="E60"/>
  <c r="D60"/>
  <c r="R22" i="4" l="1"/>
  <c r="O23"/>
  <c r="O22" s="1"/>
  <c r="M23"/>
  <c r="M22" s="1"/>
  <c r="P22"/>
  <c r="X22"/>
  <c r="Q22"/>
  <c r="S64" i="2"/>
  <c r="M66"/>
  <c r="M64" s="1"/>
  <c r="U152" i="9" l="1"/>
  <c r="O152" s="1"/>
  <c r="T152"/>
  <c r="N152" s="1"/>
  <c r="L150"/>
  <c r="K150"/>
  <c r="R154"/>
  <c r="O154" s="1"/>
  <c r="N154"/>
  <c r="M154"/>
  <c r="R153"/>
  <c r="O153" s="1"/>
  <c r="N153"/>
  <c r="M153"/>
  <c r="M152"/>
  <c r="M150" s="1"/>
  <c r="O151"/>
  <c r="N151"/>
  <c r="M151"/>
  <c r="X150"/>
  <c r="S150"/>
  <c r="R150"/>
  <c r="Q150"/>
  <c r="P150"/>
  <c r="I150"/>
  <c r="H150"/>
  <c r="G150"/>
  <c r="F150"/>
  <c r="E150"/>
  <c r="D150"/>
  <c r="R130"/>
  <c r="Q130"/>
  <c r="S130"/>
  <c r="T130"/>
  <c r="U130"/>
  <c r="N131"/>
  <c r="M131"/>
  <c r="H130"/>
  <c r="F130"/>
  <c r="R26" i="6"/>
  <c r="Q26"/>
  <c r="N26" s="1"/>
  <c r="N23" s="1"/>
  <c r="P26"/>
  <c r="P23" s="1"/>
  <c r="O26"/>
  <c r="L26"/>
  <c r="L23" s="1"/>
  <c r="K26"/>
  <c r="I26"/>
  <c r="H26"/>
  <c r="H23" s="1"/>
  <c r="G26"/>
  <c r="G23" s="1"/>
  <c r="E26"/>
  <c r="D26"/>
  <c r="D23" s="1"/>
  <c r="O25"/>
  <c r="N25"/>
  <c r="M25"/>
  <c r="O24"/>
  <c r="O23" s="1"/>
  <c r="N24"/>
  <c r="M24"/>
  <c r="L24"/>
  <c r="K24"/>
  <c r="K23" s="1"/>
  <c r="J24"/>
  <c r="X23"/>
  <c r="W23"/>
  <c r="U23"/>
  <c r="T23"/>
  <c r="S23"/>
  <c r="R23"/>
  <c r="Q23"/>
  <c r="J23"/>
  <c r="I23"/>
  <c r="E23"/>
  <c r="O22"/>
  <c r="N22"/>
  <c r="M22"/>
  <c r="X21"/>
  <c r="W21"/>
  <c r="R21"/>
  <c r="O21" s="1"/>
  <c r="O19" s="1"/>
  <c r="Q21"/>
  <c r="N21" s="1"/>
  <c r="N19" s="1"/>
  <c r="P21"/>
  <c r="M21"/>
  <c r="L21"/>
  <c r="J21"/>
  <c r="I21"/>
  <c r="H21"/>
  <c r="G21"/>
  <c r="F21"/>
  <c r="E21"/>
  <c r="D21"/>
  <c r="O20"/>
  <c r="N20"/>
  <c r="M20"/>
  <c r="X19"/>
  <c r="W19"/>
  <c r="V19"/>
  <c r="V26" s="1"/>
  <c r="U19"/>
  <c r="T19"/>
  <c r="S19"/>
  <c r="R19"/>
  <c r="Q19"/>
  <c r="P19"/>
  <c r="M19"/>
  <c r="L19"/>
  <c r="J19"/>
  <c r="I19"/>
  <c r="H19"/>
  <c r="G19"/>
  <c r="F19"/>
  <c r="E19"/>
  <c r="D19"/>
  <c r="O83" i="2"/>
  <c r="N83"/>
  <c r="M83"/>
  <c r="O82"/>
  <c r="N82"/>
  <c r="M82"/>
  <c r="O81"/>
  <c r="N81"/>
  <c r="M81"/>
  <c r="L81"/>
  <c r="K81"/>
  <c r="J81"/>
  <c r="O80"/>
  <c r="N80"/>
  <c r="M80"/>
  <c r="X79"/>
  <c r="W79"/>
  <c r="W77" s="1"/>
  <c r="W75" s="1"/>
  <c r="V79"/>
  <c r="U79"/>
  <c r="U77" s="1"/>
  <c r="U75" s="1"/>
  <c r="T79"/>
  <c r="S79"/>
  <c r="S77" s="1"/>
  <c r="S75" s="1"/>
  <c r="R79"/>
  <c r="Q79"/>
  <c r="Q77" s="1"/>
  <c r="Q75" s="1"/>
  <c r="P79"/>
  <c r="O79"/>
  <c r="O77" s="1"/>
  <c r="O75" s="1"/>
  <c r="N79"/>
  <c r="M79"/>
  <c r="M77" s="1"/>
  <c r="M75" s="1"/>
  <c r="L79"/>
  <c r="K79"/>
  <c r="K77" s="1"/>
  <c r="K75" s="1"/>
  <c r="J79"/>
  <c r="H79"/>
  <c r="G79"/>
  <c r="E79"/>
  <c r="O78"/>
  <c r="N78"/>
  <c r="M78"/>
  <c r="X77"/>
  <c r="V77"/>
  <c r="T77"/>
  <c r="R77"/>
  <c r="P77"/>
  <c r="N77"/>
  <c r="L77"/>
  <c r="J77"/>
  <c r="O76"/>
  <c r="N76"/>
  <c r="M76"/>
  <c r="X75"/>
  <c r="V75"/>
  <c r="T75"/>
  <c r="R75"/>
  <c r="P75"/>
  <c r="N75"/>
  <c r="L75"/>
  <c r="J75"/>
  <c r="I75"/>
  <c r="H75"/>
  <c r="G75"/>
  <c r="F75"/>
  <c r="E75"/>
  <c r="D75"/>
  <c r="N150" i="9" l="1"/>
  <c r="O150"/>
  <c r="M26" i="6"/>
  <c r="M23" s="1"/>
  <c r="V23"/>
  <c r="F26"/>
  <c r="F23" s="1"/>
  <c r="K21"/>
  <c r="K19" s="1"/>
  <c r="O93" i="9" l="1"/>
  <c r="O92"/>
  <c r="U92"/>
  <c r="U90"/>
  <c r="T92"/>
  <c r="Q83"/>
  <c r="R83"/>
  <c r="R82"/>
  <c r="Q82"/>
  <c r="N82" s="1"/>
  <c r="N83"/>
  <c r="N84"/>
  <c r="M73"/>
  <c r="N73"/>
  <c r="O73"/>
  <c r="M74"/>
  <c r="N74"/>
  <c r="O74"/>
  <c r="N72"/>
  <c r="O72"/>
  <c r="M72"/>
  <c r="S70"/>
  <c r="T70"/>
  <c r="U70"/>
  <c r="N60"/>
  <c r="N63"/>
  <c r="O63"/>
  <c r="N64"/>
  <c r="O64"/>
  <c r="N62"/>
  <c r="O62"/>
  <c r="Q60"/>
  <c r="R60"/>
  <c r="O60" s="1"/>
  <c r="S60"/>
  <c r="T60"/>
  <c r="U60"/>
  <c r="V60"/>
  <c r="W60"/>
  <c r="X60"/>
  <c r="R62"/>
  <c r="Q63"/>
  <c r="E60"/>
  <c r="F60"/>
  <c r="G60"/>
  <c r="H60"/>
  <c r="I60"/>
  <c r="D60"/>
  <c r="N58" i="7"/>
  <c r="N52" s="1"/>
  <c r="O58"/>
  <c r="O52" s="1"/>
  <c r="O54" i="9"/>
  <c r="N54"/>
  <c r="M54"/>
  <c r="O53"/>
  <c r="N53"/>
  <c r="M53"/>
  <c r="U52"/>
  <c r="T52"/>
  <c r="N52" s="1"/>
  <c r="S52"/>
  <c r="O52"/>
  <c r="M52"/>
  <c r="O51"/>
  <c r="N51"/>
  <c r="M51"/>
  <c r="U50"/>
  <c r="O50" s="1"/>
  <c r="S50"/>
  <c r="R50"/>
  <c r="Q50"/>
  <c r="P50"/>
  <c r="M50"/>
  <c r="T50" l="1"/>
  <c r="N50" s="1"/>
  <c r="N42" l="1"/>
  <c r="O42"/>
  <c r="N43"/>
  <c r="O43"/>
  <c r="N44"/>
  <c r="O44"/>
  <c r="O41"/>
  <c r="N41"/>
  <c r="O104" l="1"/>
  <c r="N104"/>
  <c r="M104"/>
  <c r="O103"/>
  <c r="N103"/>
  <c r="M103"/>
  <c r="O102"/>
  <c r="N102"/>
  <c r="M102"/>
  <c r="R101"/>
  <c r="Q101"/>
  <c r="N101" s="1"/>
  <c r="N100" s="1"/>
  <c r="P101"/>
  <c r="O101"/>
  <c r="M101"/>
  <c r="X100"/>
  <c r="W100"/>
  <c r="V100"/>
  <c r="U100"/>
  <c r="T100"/>
  <c r="S100"/>
  <c r="R100"/>
  <c r="Q100"/>
  <c r="P100"/>
  <c r="O100"/>
  <c r="M100"/>
  <c r="I100"/>
  <c r="H100"/>
  <c r="F100"/>
  <c r="E100"/>
  <c r="D100"/>
  <c r="O47" i="2" l="1"/>
  <c r="N47"/>
  <c r="M47"/>
  <c r="O46"/>
  <c r="N46"/>
  <c r="M46"/>
  <c r="O45"/>
  <c r="N45"/>
  <c r="M45"/>
  <c r="O51"/>
  <c r="N51"/>
  <c r="M51"/>
  <c r="O50"/>
  <c r="N50"/>
  <c r="M50"/>
  <c r="O49"/>
  <c r="N49"/>
  <c r="M49"/>
  <c r="O54"/>
  <c r="N54"/>
  <c r="M54"/>
  <c r="D44"/>
  <c r="E44"/>
  <c r="F44"/>
  <c r="G44"/>
  <c r="H44"/>
  <c r="I44"/>
  <c r="J44"/>
  <c r="K44"/>
  <c r="L44"/>
  <c r="P44"/>
  <c r="Q44"/>
  <c r="R44"/>
  <c r="S44"/>
  <c r="T44"/>
  <c r="U44"/>
  <c r="V44"/>
  <c r="W44"/>
  <c r="X44"/>
  <c r="D48"/>
  <c r="E48"/>
  <c r="F48"/>
  <c r="G48"/>
  <c r="H48"/>
  <c r="I48"/>
  <c r="J48"/>
  <c r="K48"/>
  <c r="L48"/>
  <c r="P48"/>
  <c r="Q48"/>
  <c r="R48"/>
  <c r="S48"/>
  <c r="T48"/>
  <c r="U48"/>
  <c r="V48"/>
  <c r="W48"/>
  <c r="X48"/>
  <c r="M52"/>
  <c r="N52"/>
  <c r="O52"/>
  <c r="M53"/>
  <c r="N53"/>
  <c r="O53"/>
  <c r="O44" l="1"/>
  <c r="M48"/>
  <c r="N48"/>
  <c r="M44"/>
  <c r="O48"/>
  <c r="N44"/>
  <c r="Q80" i="9"/>
  <c r="N80" s="1"/>
  <c r="O103" i="7" l="1"/>
  <c r="O102"/>
  <c r="X130" i="9"/>
  <c r="W130"/>
  <c r="V130"/>
  <c r="Q71" i="7" l="1"/>
  <c r="O74"/>
  <c r="W73"/>
  <c r="X73" s="1"/>
  <c r="O73" s="1"/>
  <c r="M73"/>
  <c r="L73"/>
  <c r="K73"/>
  <c r="J73"/>
  <c r="O72"/>
  <c r="N72"/>
  <c r="M72"/>
  <c r="N73" l="1"/>
  <c r="X29" i="2" l="1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X28"/>
  <c r="W28"/>
  <c r="V28"/>
  <c r="U28"/>
  <c r="T28"/>
  <c r="S28"/>
  <c r="R28"/>
  <c r="Q28"/>
  <c r="P28"/>
  <c r="L28"/>
  <c r="K28"/>
  <c r="J28"/>
  <c r="I28"/>
  <c r="H28"/>
  <c r="G28"/>
  <c r="F28"/>
  <c r="E28"/>
  <c r="D28"/>
  <c r="X27"/>
  <c r="W27"/>
  <c r="V27"/>
  <c r="U27"/>
  <c r="T27"/>
  <c r="S27"/>
  <c r="R27"/>
  <c r="Q27"/>
  <c r="P27"/>
  <c r="L27"/>
  <c r="K27"/>
  <c r="J27"/>
  <c r="I27"/>
  <c r="H27"/>
  <c r="G27"/>
  <c r="F27"/>
  <c r="E27"/>
  <c r="D27"/>
  <c r="X26"/>
  <c r="W26"/>
  <c r="V26"/>
  <c r="U26"/>
  <c r="T26"/>
  <c r="S26"/>
  <c r="R26"/>
  <c r="Q26"/>
  <c r="P26"/>
  <c r="L26"/>
  <c r="K26"/>
  <c r="J26"/>
  <c r="I26"/>
  <c r="H26"/>
  <c r="G26"/>
  <c r="F26"/>
  <c r="E26"/>
  <c r="D26"/>
  <c r="X25"/>
  <c r="W25"/>
  <c r="V25"/>
  <c r="U25"/>
  <c r="T25"/>
  <c r="R25"/>
  <c r="Q25"/>
  <c r="P25"/>
  <c r="I25"/>
  <c r="H25"/>
  <c r="G25"/>
  <c r="F25"/>
  <c r="E25"/>
  <c r="D25"/>
  <c r="X24"/>
  <c r="W24"/>
  <c r="V24"/>
  <c r="U24"/>
  <c r="U23" s="1"/>
  <c r="T24"/>
  <c r="T23" s="1"/>
  <c r="S24"/>
  <c r="R24"/>
  <c r="Q24"/>
  <c r="P24"/>
  <c r="L24"/>
  <c r="K24"/>
  <c r="J24"/>
  <c r="I24"/>
  <c r="H24"/>
  <c r="G24"/>
  <c r="F24"/>
  <c r="E24"/>
  <c r="D24"/>
  <c r="X22"/>
  <c r="W22"/>
  <c r="V22"/>
  <c r="U22"/>
  <c r="T22"/>
  <c r="S22"/>
  <c r="R22"/>
  <c r="Q22"/>
  <c r="P22"/>
  <c r="L22"/>
  <c r="K22"/>
  <c r="J22"/>
  <c r="I22"/>
  <c r="H22"/>
  <c r="G22"/>
  <c r="F22"/>
  <c r="E22"/>
  <c r="D22"/>
  <c r="X20"/>
  <c r="W20"/>
  <c r="V20"/>
  <c r="U20"/>
  <c r="T20"/>
  <c r="S20"/>
  <c r="R20"/>
  <c r="Q20"/>
  <c r="P20"/>
  <c r="L20"/>
  <c r="K20"/>
  <c r="J20"/>
  <c r="I20"/>
  <c r="H20"/>
  <c r="G20"/>
  <c r="F20"/>
  <c r="E20"/>
  <c r="D20"/>
  <c r="X23" l="1"/>
  <c r="E23"/>
  <c r="I23"/>
  <c r="Q23"/>
  <c r="V23"/>
  <c r="F23"/>
  <c r="R23"/>
  <c r="G23"/>
  <c r="W23"/>
  <c r="D23"/>
  <c r="P23"/>
  <c r="H23"/>
  <c r="E80" i="9" l="1"/>
  <c r="F80"/>
  <c r="G80"/>
  <c r="H80"/>
  <c r="I80"/>
  <c r="D80"/>
  <c r="N123"/>
  <c r="N124"/>
  <c r="M123"/>
  <c r="O123"/>
  <c r="M124"/>
  <c r="O124"/>
  <c r="N122"/>
  <c r="O122"/>
  <c r="M122"/>
  <c r="P120"/>
  <c r="R120"/>
  <c r="M114" l="1"/>
  <c r="N114"/>
  <c r="M113"/>
  <c r="N113"/>
  <c r="N112"/>
  <c r="M112"/>
  <c r="O113"/>
  <c r="O114"/>
  <c r="O112"/>
  <c r="M110"/>
  <c r="Q110"/>
  <c r="R110"/>
  <c r="S110"/>
  <c r="T110"/>
  <c r="U110"/>
  <c r="P110"/>
  <c r="N110" l="1"/>
  <c r="O110"/>
  <c r="L25" i="2"/>
  <c r="L23" s="1"/>
  <c r="K25"/>
  <c r="K23" s="1"/>
  <c r="J25"/>
  <c r="J23" s="1"/>
  <c r="M58" i="7" l="1"/>
  <c r="M52" s="1"/>
  <c r="X56"/>
  <c r="W56"/>
  <c r="V56"/>
  <c r="U56"/>
  <c r="U52" s="1"/>
  <c r="T56"/>
  <c r="T52" s="1"/>
  <c r="S56"/>
  <c r="S52" s="1"/>
  <c r="R56"/>
  <c r="Q56"/>
  <c r="P56"/>
  <c r="O56"/>
  <c r="N56"/>
  <c r="M56"/>
  <c r="L56"/>
  <c r="K56"/>
  <c r="J56"/>
  <c r="I56"/>
  <c r="H56"/>
  <c r="G56"/>
  <c r="F56"/>
  <c r="E56"/>
  <c r="D56"/>
  <c r="X50" i="9"/>
  <c r="W50"/>
  <c r="V50"/>
  <c r="I50"/>
  <c r="H50"/>
  <c r="G50"/>
  <c r="F50"/>
  <c r="E50"/>
  <c r="D50"/>
  <c r="E69" i="7" l="1"/>
  <c r="E67" s="1"/>
  <c r="F69"/>
  <c r="F67" s="1"/>
  <c r="G69"/>
  <c r="G67" s="1"/>
  <c r="H69"/>
  <c r="H67" s="1"/>
  <c r="I69"/>
  <c r="I67" s="1"/>
  <c r="J69"/>
  <c r="J67" s="1"/>
  <c r="K69"/>
  <c r="K67" s="1"/>
  <c r="L69"/>
  <c r="L67" s="1"/>
  <c r="M69"/>
  <c r="M67" s="1"/>
  <c r="O69"/>
  <c r="O67" s="1"/>
  <c r="P69"/>
  <c r="P67" s="1"/>
  <c r="Q69"/>
  <c r="Q67" s="1"/>
  <c r="R69"/>
  <c r="R67" s="1"/>
  <c r="S69"/>
  <c r="S67" s="1"/>
  <c r="T69"/>
  <c r="U69"/>
  <c r="U67" s="1"/>
  <c r="V69"/>
  <c r="W69"/>
  <c r="W67" s="1"/>
  <c r="X69"/>
  <c r="X67" s="1"/>
  <c r="D69"/>
  <c r="D67" s="1"/>
  <c r="V67"/>
  <c r="T67"/>
  <c r="N69"/>
  <c r="N67" s="1"/>
  <c r="L71"/>
  <c r="W71"/>
  <c r="V71"/>
  <c r="U71"/>
  <c r="T71"/>
  <c r="S71"/>
  <c r="R71"/>
  <c r="P71"/>
  <c r="K71"/>
  <c r="J71"/>
  <c r="I71"/>
  <c r="H71"/>
  <c r="G71"/>
  <c r="F71"/>
  <c r="E71"/>
  <c r="D71"/>
  <c r="M71" l="1"/>
  <c r="X71"/>
  <c r="O71"/>
  <c r="N71"/>
  <c r="E35" l="1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D35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S24"/>
  <c r="T24"/>
  <c r="U24"/>
  <c r="V24"/>
  <c r="W24"/>
  <c r="X24"/>
  <c r="Q85"/>
  <c r="Q82" s="1"/>
  <c r="Q81" s="1"/>
  <c r="Q76" s="1"/>
  <c r="L85"/>
  <c r="L82" s="1"/>
  <c r="L81" s="1"/>
  <c r="L76" s="1"/>
  <c r="K85"/>
  <c r="K82" s="1"/>
  <c r="K81" s="1"/>
  <c r="K76" s="1"/>
  <c r="X85"/>
  <c r="W85"/>
  <c r="V85"/>
  <c r="U85"/>
  <c r="T85"/>
  <c r="S85"/>
  <c r="R85"/>
  <c r="R82" s="1"/>
  <c r="P85"/>
  <c r="M85"/>
  <c r="M82" s="1"/>
  <c r="J85"/>
  <c r="J82" s="1"/>
  <c r="J81" s="1"/>
  <c r="J76" s="1"/>
  <c r="I85"/>
  <c r="I82" s="1"/>
  <c r="I81" s="1"/>
  <c r="I76" s="1"/>
  <c r="H85"/>
  <c r="H82" s="1"/>
  <c r="G85"/>
  <c r="G82" s="1"/>
  <c r="G81" s="1"/>
  <c r="G76" s="1"/>
  <c r="F85"/>
  <c r="F82" s="1"/>
  <c r="E85"/>
  <c r="E82" s="1"/>
  <c r="E81" s="1"/>
  <c r="E76" s="1"/>
  <c r="D85"/>
  <c r="D82" s="1"/>
  <c r="D81" s="1"/>
  <c r="D76" s="1"/>
  <c r="X81"/>
  <c r="W81"/>
  <c r="W76" s="1"/>
  <c r="V81"/>
  <c r="V76" s="1"/>
  <c r="U81"/>
  <c r="U76" s="1"/>
  <c r="T81"/>
  <c r="S81"/>
  <c r="S76" s="1"/>
  <c r="X76"/>
  <c r="T76"/>
  <c r="D86" i="2"/>
  <c r="F81" i="7" l="1"/>
  <c r="F76" s="1"/>
  <c r="R81"/>
  <c r="R76" s="1"/>
  <c r="S21" i="2"/>
  <c r="S19" s="1"/>
  <c r="H81" i="7"/>
  <c r="H76" s="1"/>
  <c r="K21" i="2"/>
  <c r="K19" s="1"/>
  <c r="N85" i="7"/>
  <c r="N82" s="1"/>
  <c r="O85"/>
  <c r="O82" s="1"/>
  <c r="P82"/>
  <c r="M81"/>
  <c r="M76" s="1"/>
  <c r="O28" i="2"/>
  <c r="N28"/>
  <c r="M28"/>
  <c r="O27"/>
  <c r="N27"/>
  <c r="M27"/>
  <c r="O26"/>
  <c r="N26"/>
  <c r="M26"/>
  <c r="N25"/>
  <c r="O24"/>
  <c r="N24"/>
  <c r="M24"/>
  <c r="R21"/>
  <c r="R19" s="1"/>
  <c r="P21"/>
  <c r="P19" s="1"/>
  <c r="O22"/>
  <c r="N22"/>
  <c r="M22"/>
  <c r="X21"/>
  <c r="X19" s="1"/>
  <c r="W21"/>
  <c r="W19" s="1"/>
  <c r="V21"/>
  <c r="V19" s="1"/>
  <c r="U21"/>
  <c r="U19" s="1"/>
  <c r="T21"/>
  <c r="T19" s="1"/>
  <c r="J21"/>
  <c r="J19" s="1"/>
  <c r="I21"/>
  <c r="I19" s="1"/>
  <c r="H21"/>
  <c r="H19" s="1"/>
  <c r="G21"/>
  <c r="G19" s="1"/>
  <c r="F21"/>
  <c r="F19" s="1"/>
  <c r="E21"/>
  <c r="E19" s="1"/>
  <c r="D21"/>
  <c r="D19" s="1"/>
  <c r="O20"/>
  <c r="N20"/>
  <c r="M20"/>
  <c r="R34" i="4"/>
  <c r="X34"/>
  <c r="T34"/>
  <c r="K34"/>
  <c r="I34"/>
  <c r="G34"/>
  <c r="E34"/>
  <c r="C34"/>
  <c r="N34"/>
  <c r="L34"/>
  <c r="U34"/>
  <c r="S34"/>
  <c r="J34"/>
  <c r="H34"/>
  <c r="F34"/>
  <c r="D34"/>
  <c r="S25" i="2" l="1"/>
  <c r="S23" s="1"/>
  <c r="N23"/>
  <c r="L21"/>
  <c r="L19" s="1"/>
  <c r="Q21"/>
  <c r="Q19" s="1"/>
  <c r="O25"/>
  <c r="O23" s="1"/>
  <c r="N21"/>
  <c r="N19" s="1"/>
  <c r="N81" i="7"/>
  <c r="N76" s="1"/>
  <c r="O81"/>
  <c r="O76" s="1"/>
  <c r="P81"/>
  <c r="P76" s="1"/>
  <c r="W34" i="4"/>
  <c r="O21" i="2"/>
  <c r="O19" s="1"/>
  <c r="M21"/>
  <c r="M19" s="1"/>
  <c r="M34" i="4"/>
  <c r="P34"/>
  <c r="Q34"/>
  <c r="V34"/>
  <c r="O34"/>
  <c r="M25" i="2" l="1"/>
  <c r="M23" s="1"/>
  <c r="E22" i="9"/>
  <c r="F22"/>
  <c r="G22"/>
  <c r="H22"/>
  <c r="I22"/>
  <c r="F23"/>
  <c r="G23"/>
  <c r="H23"/>
  <c r="I23"/>
  <c r="F24"/>
  <c r="G24"/>
  <c r="H24"/>
  <c r="I24"/>
  <c r="E23"/>
  <c r="E24"/>
  <c r="D24"/>
  <c r="D23"/>
  <c r="Q22"/>
  <c r="S22"/>
  <c r="T22"/>
  <c r="U22"/>
  <c r="S23"/>
  <c r="T23"/>
  <c r="U23"/>
  <c r="Q24"/>
  <c r="S24"/>
  <c r="T24"/>
  <c r="U24"/>
  <c r="P21"/>
  <c r="K20"/>
  <c r="L20"/>
  <c r="J20"/>
  <c r="U21"/>
  <c r="T21"/>
  <c r="S21"/>
  <c r="R21"/>
  <c r="Q21"/>
  <c r="T20" l="1"/>
  <c r="S20"/>
  <c r="U20"/>
  <c r="V22"/>
  <c r="W22"/>
  <c r="N22" s="1"/>
  <c r="X22"/>
  <c r="D22"/>
  <c r="P160"/>
  <c r="Q160"/>
  <c r="R160"/>
  <c r="E160"/>
  <c r="F160"/>
  <c r="G160"/>
  <c r="H160"/>
  <c r="I160"/>
  <c r="D160"/>
  <c r="M120"/>
  <c r="X120"/>
  <c r="W120"/>
  <c r="V120"/>
  <c r="U120"/>
  <c r="T120"/>
  <c r="S120"/>
  <c r="O120"/>
  <c r="I120"/>
  <c r="H120"/>
  <c r="G120"/>
  <c r="F120"/>
  <c r="E120"/>
  <c r="D120"/>
  <c r="X160" l="1"/>
  <c r="W160"/>
  <c r="V160"/>
  <c r="U160"/>
  <c r="T160"/>
  <c r="S160"/>
  <c r="O160" l="1"/>
  <c r="N160"/>
  <c r="F70"/>
  <c r="G70"/>
  <c r="H70"/>
  <c r="I70"/>
  <c r="E70"/>
  <c r="X110" l="1"/>
  <c r="W110"/>
  <c r="V110"/>
  <c r="I110"/>
  <c r="H110"/>
  <c r="G110"/>
  <c r="F110"/>
  <c r="E110"/>
  <c r="D110"/>
  <c r="N102" i="7" l="1"/>
  <c r="M103"/>
  <c r="X101"/>
  <c r="W101"/>
  <c r="V101"/>
  <c r="U101"/>
  <c r="T101"/>
  <c r="S101"/>
  <c r="R101"/>
  <c r="R98" s="1"/>
  <c r="O101"/>
  <c r="O98" s="1"/>
  <c r="L101"/>
  <c r="L98" s="1"/>
  <c r="K101"/>
  <c r="K98" s="1"/>
  <c r="J101"/>
  <c r="J98" s="1"/>
  <c r="I101"/>
  <c r="I98" s="1"/>
  <c r="H101"/>
  <c r="H98" s="1"/>
  <c r="G101"/>
  <c r="G98" s="1"/>
  <c r="F101"/>
  <c r="F98" s="1"/>
  <c r="E101"/>
  <c r="E98" s="1"/>
  <c r="D101"/>
  <c r="D98" s="1"/>
  <c r="X97"/>
  <c r="W97"/>
  <c r="V97"/>
  <c r="U97"/>
  <c r="T97"/>
  <c r="S97"/>
  <c r="E97" l="1"/>
  <c r="E24"/>
  <c r="F97"/>
  <c r="F24"/>
  <c r="D97"/>
  <c r="D24"/>
  <c r="H97"/>
  <c r="H24"/>
  <c r="J97"/>
  <c r="J24"/>
  <c r="O97"/>
  <c r="O24"/>
  <c r="R97"/>
  <c r="R24"/>
  <c r="L97"/>
  <c r="L24"/>
  <c r="K97"/>
  <c r="K24"/>
  <c r="I97"/>
  <c r="I24"/>
  <c r="G97"/>
  <c r="G24"/>
  <c r="X180" i="9"/>
  <c r="W180"/>
  <c r="V180"/>
  <c r="D180"/>
  <c r="O94" l="1"/>
  <c r="N94"/>
  <c r="M94"/>
  <c r="N93"/>
  <c r="M93"/>
  <c r="N92"/>
  <c r="M92"/>
  <c r="M90" s="1"/>
  <c r="O91"/>
  <c r="N91"/>
  <c r="M91"/>
  <c r="X90"/>
  <c r="W90"/>
  <c r="V90"/>
  <c r="T90"/>
  <c r="S90"/>
  <c r="R90"/>
  <c r="Q90"/>
  <c r="P90"/>
  <c r="I90"/>
  <c r="H90"/>
  <c r="G90"/>
  <c r="F90"/>
  <c r="E90"/>
  <c r="D90"/>
  <c r="N90" l="1"/>
  <c r="O90"/>
  <c r="K25" i="7"/>
  <c r="L25"/>
  <c r="M25"/>
  <c r="N25"/>
  <c r="O25"/>
  <c r="P25"/>
  <c r="Q25"/>
  <c r="R25"/>
  <c r="S25"/>
  <c r="T25"/>
  <c r="U25"/>
  <c r="W25"/>
  <c r="X25"/>
  <c r="V25" l="1"/>
  <c r="J25"/>
  <c r="I25"/>
  <c r="H25"/>
  <c r="G25"/>
  <c r="F25"/>
  <c r="E25"/>
  <c r="D25"/>
  <c r="D23" s="1"/>
  <c r="D37" s="1"/>
  <c r="I21" i="9"/>
  <c r="X55" i="2" l="1"/>
  <c r="Q70" i="9" l="1"/>
  <c r="N70" l="1"/>
  <c r="E46" i="7" l="1"/>
  <c r="F46"/>
  <c r="G46"/>
  <c r="H46"/>
  <c r="I46"/>
  <c r="J46"/>
  <c r="K46"/>
  <c r="L46"/>
  <c r="M46"/>
  <c r="N46"/>
  <c r="O46"/>
  <c r="P46"/>
  <c r="Q46"/>
  <c r="R46"/>
  <c r="D46"/>
  <c r="E40" i="9" l="1"/>
  <c r="E190"/>
  <c r="M42" l="1"/>
  <c r="M43"/>
  <c r="M44"/>
  <c r="R71"/>
  <c r="O71" s="1"/>
  <c r="R70"/>
  <c r="P70"/>
  <c r="O70"/>
  <c r="M70"/>
  <c r="O192" l="1"/>
  <c r="N192"/>
  <c r="O194"/>
  <c r="N194"/>
  <c r="T190"/>
  <c r="U190"/>
  <c r="J26" l="1"/>
  <c r="K26"/>
  <c r="L26"/>
  <c r="F55" i="2" l="1"/>
  <c r="H55"/>
  <c r="I55"/>
  <c r="J55"/>
  <c r="P55"/>
  <c r="Q55"/>
  <c r="T55"/>
  <c r="U55"/>
  <c r="V55"/>
  <c r="E39" i="7"/>
  <c r="F39"/>
  <c r="G39"/>
  <c r="H39"/>
  <c r="I39"/>
  <c r="J39"/>
  <c r="K39"/>
  <c r="L39"/>
  <c r="D39"/>
  <c r="D41" s="1"/>
  <c r="R55" i="2" l="1"/>
  <c r="L55"/>
  <c r="K55"/>
  <c r="W55"/>
  <c r="N193" i="9" l="1"/>
  <c r="O193"/>
  <c r="M194"/>
  <c r="M192"/>
  <c r="M29" i="7"/>
  <c r="M28"/>
  <c r="E34"/>
  <c r="F34"/>
  <c r="G34"/>
  <c r="H34"/>
  <c r="I34"/>
  <c r="J34"/>
  <c r="K34"/>
  <c r="L34"/>
  <c r="O34"/>
  <c r="P34"/>
  <c r="R34"/>
  <c r="S34"/>
  <c r="T34"/>
  <c r="U34"/>
  <c r="V34"/>
  <c r="W34"/>
  <c r="X34"/>
  <c r="D34"/>
  <c r="E33"/>
  <c r="F33"/>
  <c r="G33"/>
  <c r="H33"/>
  <c r="I33"/>
  <c r="J33"/>
  <c r="K33"/>
  <c r="L33"/>
  <c r="N33"/>
  <c r="O33"/>
  <c r="Q33"/>
  <c r="R33"/>
  <c r="S33"/>
  <c r="T33"/>
  <c r="U33"/>
  <c r="V33"/>
  <c r="W33"/>
  <c r="X33"/>
  <c r="D33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D32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D31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D30"/>
  <c r="E29"/>
  <c r="F29"/>
  <c r="G29"/>
  <c r="H29"/>
  <c r="I29"/>
  <c r="J29"/>
  <c r="K29"/>
  <c r="L29"/>
  <c r="N29"/>
  <c r="P29"/>
  <c r="Q29"/>
  <c r="S29"/>
  <c r="T29"/>
  <c r="U29"/>
  <c r="V29"/>
  <c r="W29"/>
  <c r="X29"/>
  <c r="D29"/>
  <c r="E28"/>
  <c r="F28"/>
  <c r="G28"/>
  <c r="H28"/>
  <c r="I28"/>
  <c r="J28"/>
  <c r="K28"/>
  <c r="L28"/>
  <c r="N28"/>
  <c r="O28"/>
  <c r="P28"/>
  <c r="Q28"/>
  <c r="R28"/>
  <c r="S28"/>
  <c r="T28"/>
  <c r="U28"/>
  <c r="V28"/>
  <c r="W28"/>
  <c r="X28"/>
  <c r="D28"/>
  <c r="U27" l="1"/>
  <c r="W27"/>
  <c r="S27"/>
  <c r="K27"/>
  <c r="D27"/>
  <c r="I27"/>
  <c r="E27"/>
  <c r="X27"/>
  <c r="T27"/>
  <c r="L27"/>
  <c r="J27"/>
  <c r="F27"/>
  <c r="G27"/>
  <c r="V27"/>
  <c r="H27"/>
  <c r="X23"/>
  <c r="V23"/>
  <c r="J23"/>
  <c r="H23"/>
  <c r="F23"/>
  <c r="T23"/>
  <c r="L23"/>
  <c r="K23"/>
  <c r="I23"/>
  <c r="G23"/>
  <c r="O40" i="9"/>
  <c r="W23" i="7"/>
  <c r="W18" l="1"/>
  <c r="I18"/>
  <c r="T18"/>
  <c r="V18"/>
  <c r="J18"/>
  <c r="X18"/>
  <c r="G18"/>
  <c r="H18"/>
  <c r="K18"/>
  <c r="F18"/>
  <c r="L18"/>
  <c r="K28" i="9"/>
  <c r="L28"/>
  <c r="J28"/>
  <c r="E21"/>
  <c r="F21"/>
  <c r="G21"/>
  <c r="H21"/>
  <c r="D21"/>
  <c r="D20" s="1"/>
  <c r="J31" i="2" l="1"/>
  <c r="E20" i="9"/>
  <c r="H20"/>
  <c r="F20"/>
  <c r="I20"/>
  <c r="G20"/>
  <c r="P31" i="2" l="1"/>
  <c r="D31"/>
  <c r="F31"/>
  <c r="L31"/>
  <c r="R31"/>
  <c r="Q31"/>
  <c r="H31"/>
  <c r="K31"/>
  <c r="W31"/>
  <c r="X31"/>
  <c r="T31" l="1"/>
  <c r="U31"/>
  <c r="G40" i="9" l="1"/>
  <c r="H40"/>
  <c r="I40"/>
  <c r="F30" i="6" l="1"/>
  <c r="G30"/>
  <c r="I30"/>
  <c r="V31" i="2"/>
  <c r="P190" i="9"/>
  <c r="Q190"/>
  <c r="R190"/>
  <c r="F190"/>
  <c r="G190"/>
  <c r="H190"/>
  <c r="I190"/>
  <c r="S55" i="2"/>
  <c r="L30" i="6" l="1"/>
  <c r="K30"/>
  <c r="M34" i="7"/>
  <c r="X62"/>
  <c r="D92"/>
  <c r="H30" i="6" l="1"/>
  <c r="E30"/>
  <c r="J30"/>
  <c r="Q30"/>
  <c r="U30"/>
  <c r="W30"/>
  <c r="E86" i="2"/>
  <c r="X1" i="7"/>
  <c r="V1"/>
  <c r="J1"/>
  <c r="H1"/>
  <c r="F1"/>
  <c r="D18" l="1"/>
  <c r="T30" i="6"/>
  <c r="W37" i="7"/>
  <c r="W1"/>
  <c r="S30" i="6"/>
  <c r="D1" i="7"/>
  <c r="S31" i="2"/>
  <c r="T37" i="7"/>
  <c r="T1"/>
  <c r="P30" i="6"/>
  <c r="R30"/>
  <c r="X30"/>
  <c r="D30"/>
  <c r="F37" i="7"/>
  <c r="H37"/>
  <c r="J37"/>
  <c r="V37"/>
  <c r="X37"/>
  <c r="E23"/>
  <c r="I31" i="2"/>
  <c r="V30" i="6"/>
  <c r="N30"/>
  <c r="E18" i="7" l="1"/>
  <c r="I37"/>
  <c r="I1"/>
  <c r="L37"/>
  <c r="L1"/>
  <c r="K37"/>
  <c r="K1"/>
  <c r="M30" i="6"/>
  <c r="O30"/>
  <c r="F86" i="2" l="1"/>
  <c r="G86"/>
  <c r="H86"/>
  <c r="I86"/>
  <c r="J86"/>
  <c r="K86"/>
  <c r="L86"/>
  <c r="V24" i="9" l="1"/>
  <c r="W23"/>
  <c r="V23"/>
  <c r="W33"/>
  <c r="W34" l="1"/>
  <c r="K92" i="7"/>
  <c r="J92"/>
  <c r="I92"/>
  <c r="H92"/>
  <c r="G92"/>
  <c r="F92"/>
  <c r="E92"/>
  <c r="Q86" i="2"/>
  <c r="M86"/>
  <c r="P86"/>
  <c r="M193" i="9"/>
  <c r="O191"/>
  <c r="O190" s="1"/>
  <c r="N191"/>
  <c r="N190" s="1"/>
  <c r="M191"/>
  <c r="X190"/>
  <c r="W190"/>
  <c r="V190"/>
  <c r="D190"/>
  <c r="L92" i="7" l="1"/>
  <c r="R86" i="2"/>
  <c r="O86"/>
  <c r="M190" i="9"/>
  <c r="N86" i="2" l="1"/>
  <c r="X24" i="9" l="1"/>
  <c r="W24"/>
  <c r="X23"/>
  <c r="X33"/>
  <c r="X21"/>
  <c r="W21"/>
  <c r="V21"/>
  <c r="M21" s="1"/>
  <c r="K39" i="2"/>
  <c r="I39"/>
  <c r="L39"/>
  <c r="J39"/>
  <c r="H39"/>
  <c r="G39"/>
  <c r="F39"/>
  <c r="E39"/>
  <c r="D39"/>
  <c r="X92" i="7"/>
  <c r="W92"/>
  <c r="V92"/>
  <c r="U92"/>
  <c r="T92"/>
  <c r="S92"/>
  <c r="W62"/>
  <c r="V62"/>
  <c r="U62"/>
  <c r="T62"/>
  <c r="S62"/>
  <c r="R62"/>
  <c r="Q62"/>
  <c r="P62"/>
  <c r="L62"/>
  <c r="K62"/>
  <c r="D62"/>
  <c r="U23"/>
  <c r="U18" s="1"/>
  <c r="O23"/>
  <c r="X86" i="2"/>
  <c r="W86"/>
  <c r="V86"/>
  <c r="U86"/>
  <c r="T86"/>
  <c r="S86"/>
  <c r="M39"/>
  <c r="X39" i="7"/>
  <c r="W39"/>
  <c r="V39"/>
  <c r="U39"/>
  <c r="T39"/>
  <c r="S39"/>
  <c r="R39"/>
  <c r="X80" i="9"/>
  <c r="W80"/>
  <c r="V80"/>
  <c r="U80"/>
  <c r="T80"/>
  <c r="S80"/>
  <c r="X40"/>
  <c r="X26" s="1"/>
  <c r="W40"/>
  <c r="W26" s="1"/>
  <c r="V40"/>
  <c r="V26" s="1"/>
  <c r="U40"/>
  <c r="T40"/>
  <c r="S40"/>
  <c r="F40"/>
  <c r="D40"/>
  <c r="X32" l="1"/>
  <c r="O21"/>
  <c r="W32"/>
  <c r="N21"/>
  <c r="W35"/>
  <c r="N24"/>
  <c r="Q39" i="2"/>
  <c r="T39"/>
  <c r="P39"/>
  <c r="U39"/>
  <c r="W39"/>
  <c r="R39"/>
  <c r="V41" i="7"/>
  <c r="V39" i="2"/>
  <c r="X41" i="7"/>
  <c r="X39" i="2"/>
  <c r="M31"/>
  <c r="M55"/>
  <c r="O31"/>
  <c r="O55"/>
  <c r="E62" i="7"/>
  <c r="G62"/>
  <c r="I41"/>
  <c r="I62"/>
  <c r="M62"/>
  <c r="O62"/>
  <c r="I26" i="9"/>
  <c r="I28" s="1"/>
  <c r="S39" i="2"/>
  <c r="N31"/>
  <c r="N55"/>
  <c r="S23" i="7"/>
  <c r="S18" s="1"/>
  <c r="U37"/>
  <c r="U1"/>
  <c r="F41"/>
  <c r="F62"/>
  <c r="H41"/>
  <c r="H62"/>
  <c r="J41"/>
  <c r="J62"/>
  <c r="D26" i="9"/>
  <c r="D28" s="1"/>
  <c r="H26"/>
  <c r="H28" s="1"/>
  <c r="E26"/>
  <c r="E28" s="1"/>
  <c r="X35"/>
  <c r="V20"/>
  <c r="X34"/>
  <c r="F26"/>
  <c r="F28" s="1"/>
  <c r="T26"/>
  <c r="T28" s="1"/>
  <c r="W41" i="7"/>
  <c r="S26" i="9"/>
  <c r="S28" s="1"/>
  <c r="G26"/>
  <c r="G28" s="1"/>
  <c r="U26"/>
  <c r="U28" s="1"/>
  <c r="G55" i="2"/>
  <c r="G31"/>
  <c r="E55"/>
  <c r="N62" i="7"/>
  <c r="X20" i="9"/>
  <c r="T41" i="7"/>
  <c r="W20" i="9"/>
  <c r="O39" i="7"/>
  <c r="N39" i="2"/>
  <c r="K41" i="7"/>
  <c r="L41"/>
  <c r="E31" i="2" l="1"/>
  <c r="E37" i="7"/>
  <c r="E41" s="1"/>
  <c r="U41"/>
  <c r="O39" i="2"/>
  <c r="V28" i="9"/>
  <c r="E1" i="7"/>
  <c r="G37"/>
  <c r="G1"/>
  <c r="S37"/>
  <c r="S41" s="1"/>
  <c r="S1"/>
  <c r="X31" i="9"/>
  <c r="X28"/>
  <c r="W31"/>
  <c r="W28"/>
  <c r="O92" i="7"/>
  <c r="G41" l="1"/>
  <c r="R92"/>
  <c r="R40" i="9" l="1"/>
  <c r="R29" i="7" l="1"/>
  <c r="R27" s="1"/>
  <c r="O29"/>
  <c r="O27" s="1"/>
  <c r="R23" l="1"/>
  <c r="R18" s="1"/>
  <c r="M41" i="9"/>
  <c r="M40" s="1"/>
  <c r="P40"/>
  <c r="O1" i="7" l="1"/>
  <c r="O18"/>
  <c r="R37"/>
  <c r="R41" s="1"/>
  <c r="R1"/>
  <c r="O37"/>
  <c r="O41" s="1"/>
  <c r="Q40" i="9"/>
  <c r="N40"/>
  <c r="P101" i="7" l="1"/>
  <c r="P33"/>
  <c r="P27" s="1"/>
  <c r="M102"/>
  <c r="M33" s="1"/>
  <c r="M27" s="1"/>
  <c r="M101" l="1"/>
  <c r="M98" s="1"/>
  <c r="M24" s="1"/>
  <c r="P98" l="1"/>
  <c r="P24" s="1"/>
  <c r="M97"/>
  <c r="M39" s="1"/>
  <c r="M23"/>
  <c r="P97" l="1"/>
  <c r="P39" s="1"/>
  <c r="P23"/>
  <c r="M92"/>
  <c r="M1"/>
  <c r="M18"/>
  <c r="M37"/>
  <c r="M41" s="1"/>
  <c r="P92" l="1"/>
  <c r="P18"/>
  <c r="P37"/>
  <c r="P1"/>
  <c r="P41" l="1"/>
  <c r="Q34"/>
  <c r="Q27" s="1"/>
  <c r="Q101"/>
  <c r="Q98" s="1"/>
  <c r="Q24" s="1"/>
  <c r="N103"/>
  <c r="N34" s="1"/>
  <c r="N27" s="1"/>
  <c r="Q97" l="1"/>
  <c r="Q39" s="1"/>
  <c r="Q23"/>
  <c r="N101"/>
  <c r="N98" s="1"/>
  <c r="N24" s="1"/>
  <c r="Q37" l="1"/>
  <c r="Q1"/>
  <c r="Q18"/>
  <c r="Q92"/>
  <c r="N23"/>
  <c r="N97"/>
  <c r="N39" s="1"/>
  <c r="Q41" l="1"/>
  <c r="N18"/>
  <c r="N1"/>
  <c r="N37"/>
  <c r="N92"/>
  <c r="N41" l="1"/>
  <c r="Q120" i="9" l="1"/>
  <c r="Q26" s="1"/>
  <c r="N120"/>
  <c r="N26" s="1"/>
  <c r="Q23"/>
  <c r="N23" s="1"/>
  <c r="N20" s="1"/>
  <c r="N28" l="1"/>
  <c r="Q20"/>
  <c r="Q28" s="1"/>
  <c r="M82" l="1"/>
  <c r="P23" l="1"/>
  <c r="M83"/>
  <c r="M23" l="1"/>
  <c r="P24"/>
  <c r="P80"/>
  <c r="M80" s="1"/>
  <c r="M84"/>
  <c r="M24" l="1"/>
  <c r="R22"/>
  <c r="O82"/>
  <c r="O22" l="1"/>
  <c r="R23"/>
  <c r="O23" s="1"/>
  <c r="O83"/>
  <c r="R24"/>
  <c r="O24" s="1"/>
  <c r="R80"/>
  <c r="O80" s="1"/>
  <c r="O26" s="1"/>
  <c r="O84"/>
  <c r="O20" l="1"/>
  <c r="O28" s="1"/>
  <c r="R26"/>
  <c r="R20"/>
  <c r="R28" l="1"/>
  <c r="M20"/>
  <c r="P20"/>
  <c r="M22"/>
  <c r="P22"/>
  <c r="M26"/>
  <c r="P26"/>
  <c r="M28"/>
  <c r="P28"/>
  <c r="M130"/>
  <c r="P130"/>
  <c r="M132"/>
  <c r="P132"/>
</calcChain>
</file>

<file path=xl/sharedStrings.xml><?xml version="1.0" encoding="utf-8"?>
<sst xmlns="http://schemas.openxmlformats.org/spreadsheetml/2006/main" count="1519" uniqueCount="127">
  <si>
    <t>Категории  работающего персонала</t>
  </si>
  <si>
    <t>01</t>
  </si>
  <si>
    <t>02</t>
  </si>
  <si>
    <t>Всего - по      учреждениям (организациям)</t>
  </si>
  <si>
    <t>учреждения общего образования</t>
  </si>
  <si>
    <t xml:space="preserve">учреждения дополнительного образования детей      </t>
  </si>
  <si>
    <t xml:space="preserve">учреждения дошкольного образования      </t>
  </si>
  <si>
    <t xml:space="preserve">учреждения повышения квалификации и переподготовки кадров      </t>
  </si>
  <si>
    <t>библиотеки</t>
  </si>
  <si>
    <t>музеи</t>
  </si>
  <si>
    <t>Главный бухгалтер</t>
  </si>
  <si>
    <t xml:space="preserve">Руководитель </t>
  </si>
  <si>
    <t>(наименование  министерства)</t>
  </si>
  <si>
    <t>(наименование  минитстерства, управления, комитета)</t>
  </si>
  <si>
    <t>на отчетную дату</t>
  </si>
  <si>
    <t xml:space="preserve">по категориям работающих </t>
  </si>
  <si>
    <t>казенные учреждения</t>
  </si>
  <si>
    <t>бюджетные учреждения</t>
  </si>
  <si>
    <t>автономные учреждения</t>
  </si>
  <si>
    <t>уточненные плановые назначения на отчетную дату</t>
  </si>
  <si>
    <t>1</t>
  </si>
  <si>
    <t>2</t>
  </si>
  <si>
    <t>3</t>
  </si>
  <si>
    <t>4</t>
  </si>
  <si>
    <t>5</t>
  </si>
  <si>
    <t>Примечание: данные по строке 01 должны соответствовать данным по строке 02.</t>
  </si>
  <si>
    <t>Исполнитель: ФИО</t>
  </si>
  <si>
    <t>телефон</t>
  </si>
  <si>
    <t>Детско-юношеские спортивные школы</t>
  </si>
  <si>
    <t>Центры спортивной подготовки</t>
  </si>
  <si>
    <t>Наименование</t>
  </si>
  <si>
    <t>кассовое исполнение на отчетную дату</t>
  </si>
  <si>
    <t>в том числе по  источникам финансирования</t>
  </si>
  <si>
    <t>средства от платных услуг, аренды, целевых и иных поступлений</t>
  </si>
  <si>
    <t>Из стр. 01 по типам учреждений (организаций):</t>
  </si>
  <si>
    <t>…</t>
  </si>
  <si>
    <t>Расходы на оплату труда (КОСГУ 211), тыс. руб.</t>
  </si>
  <si>
    <t>Среднесписочная численность (чел.)</t>
  </si>
  <si>
    <t>Утверждено по штатному расписанию (шт.ед.)</t>
  </si>
  <si>
    <t>Фактически занято штатных единиц (шт.ед.)</t>
  </si>
  <si>
    <t>Приложение  1</t>
  </si>
  <si>
    <t>ИНФОРМАЦИЯ</t>
  </si>
  <si>
    <t>Приложение  2</t>
  </si>
  <si>
    <t>Приложение  4</t>
  </si>
  <si>
    <t>Приложение  3</t>
  </si>
  <si>
    <t>Приложение  5</t>
  </si>
  <si>
    <t>х</t>
  </si>
  <si>
    <t>на 01.01.201_ г.</t>
  </si>
  <si>
    <t>плановые назначения на 01.01.201_ г.</t>
  </si>
  <si>
    <t>на 
01.01.201_ г.</t>
  </si>
  <si>
    <t>Расходы на осуществление деятельности муниципальных учреждений за счет всех источников финансирования (КОСГУ 210-340), тыс. руб.</t>
  </si>
  <si>
    <t>учреждения молодежной политики</t>
  </si>
  <si>
    <t>прочие учреждения физкультуры и спорта</t>
  </si>
  <si>
    <t>собственные средства бюджета города</t>
  </si>
  <si>
    <t>средства, поступившие из других бюджетов бюджетной системы Российской Федерации</t>
  </si>
  <si>
    <t>средства от платных услуг,целевых и иных поступлений</t>
  </si>
  <si>
    <t>Всего  по главному распорядителю</t>
  </si>
  <si>
    <t>лица, замещающие муниципальные должности</t>
  </si>
  <si>
    <t>муниципальные служащие</t>
  </si>
  <si>
    <t>работники, замещающие должности не являющиеся должностями  муниципальной службы</t>
  </si>
  <si>
    <t>1. Сведения о численности работников органов местного</t>
  </si>
  <si>
    <t xml:space="preserve"> самоуправления города Ставрополя и фактических затратах на их </t>
  </si>
  <si>
    <t>денежное содержание на ____________</t>
  </si>
  <si>
    <t>Фактические затраты на денежное содержание работников органов местного самоуправления (тыс.руб.)</t>
  </si>
  <si>
    <t>2. Сведения о численности работников муниципальных учреждений</t>
  </si>
  <si>
    <t>города Ставрополя и фактических затратах на их денежное</t>
  </si>
  <si>
    <t>содержание на____________</t>
  </si>
  <si>
    <t>Итого:</t>
  </si>
  <si>
    <t>Приложение 6</t>
  </si>
  <si>
    <t>Среднесписочная численность работников органов местного самоуправления (чел.)</t>
  </si>
  <si>
    <t xml:space="preserve"> муниципальные служащие</t>
  </si>
  <si>
    <t>Среднесписочная численность работников подведомственных учреждений (с учетом внешних совместителей)                                      чел.</t>
  </si>
  <si>
    <t>Фактические затраты на денежное содержание работников муниципальных учреждений (с учетом внешних совместителей) тыс. руб.</t>
  </si>
  <si>
    <t>Наименование главного распорядителя бюджетных средств</t>
  </si>
  <si>
    <t>Расходы на осуществление деятельности органов местного самоуправления города Ставрополя  за счет всех источников финансирования (КОСГУ 210-340),  тыс. руб.</t>
  </si>
  <si>
    <t>к Порядку проведения мониторинга состояния численности</t>
  </si>
  <si>
    <t xml:space="preserve"> муниципальных служащих города Ставрополя и работников</t>
  </si>
  <si>
    <t xml:space="preserve"> расходов на содержание органов местного самоуправления </t>
  </si>
  <si>
    <t>и муниципальных учреждений города Ставрополя</t>
  </si>
  <si>
    <t>муниципальных учреждений города Ставрополя, а также</t>
  </si>
  <si>
    <t xml:space="preserve"> муниципальных служащих органа местного самоуправления города </t>
  </si>
  <si>
    <t xml:space="preserve">Ставрополя и работников муниципальных учреждений города Ставрополя, </t>
  </si>
  <si>
    <t xml:space="preserve">а также расходов на содержание органов местного самоуправления  </t>
  </si>
  <si>
    <t xml:space="preserve">о численности и фактических затратах на денежное содержание работников органа местного самоуправления </t>
  </si>
  <si>
    <t xml:space="preserve"> города Ставрополя, а также расходах на содержание органов местного самоуправления города Ставрополя</t>
  </si>
  <si>
    <t>работники, осуществляющие профессиональную деятельность по профессиям рабочих</t>
  </si>
  <si>
    <t xml:space="preserve">о численности и фактических затратах на денежное содержание работников  муниципальных учреждений города </t>
  </si>
  <si>
    <t>Ставрополя, а также расходах на содержание указанных учреждений в сфере образования и молодежной политики</t>
  </si>
  <si>
    <t>Ставрополя, а также расходах на содержание указанных учреждений  в сфере культуры, искусства и кинематографии</t>
  </si>
  <si>
    <t>Ставрополя, а также расходах на содержание указанных учреждений  в сфере физической культуры и спорта</t>
  </si>
  <si>
    <t>Ставрополя, а также расходах на содержание указанных учреждений  в сфере ___________________________</t>
  </si>
  <si>
    <t xml:space="preserve">                                                                     (иные)</t>
  </si>
  <si>
    <t>мку мфц</t>
  </si>
  <si>
    <t>мку хуагс</t>
  </si>
  <si>
    <t>6</t>
  </si>
  <si>
    <t xml:space="preserve">прочие учреждения </t>
  </si>
  <si>
    <t>МБУ "ЕЦДС" пассажирского транспорта" г.Ставрополя</t>
  </si>
  <si>
    <t>МБУ "Ставропольское городское лесничество"</t>
  </si>
  <si>
    <t>СВОД</t>
  </si>
  <si>
    <t>МКУ "Служба спасения" города Ставрополя</t>
  </si>
  <si>
    <t>МКУ "ЕДДС" города Ставрополя</t>
  </si>
  <si>
    <t>Комитет культуры и молодежной политики администрации города Ставрополя</t>
  </si>
  <si>
    <t>плановые назначения на 01.01.2017 г.</t>
  </si>
  <si>
    <t xml:space="preserve">культурно-досуговые организации </t>
  </si>
  <si>
    <t xml:space="preserve">прочие учреждения культуры </t>
  </si>
  <si>
    <t>МБУ "Транссигнал"</t>
  </si>
  <si>
    <t>на 01.01.2018 г.</t>
  </si>
  <si>
    <t>на 
01.01.2018 г.</t>
  </si>
  <si>
    <t>плановые назначения на 01.01.2018 г.</t>
  </si>
  <si>
    <t>на
01.01.2019 г.</t>
  </si>
  <si>
    <t>плановые назначения на 01.01.2019 г.</t>
  </si>
  <si>
    <t>7</t>
  </si>
  <si>
    <t>8</t>
  </si>
  <si>
    <t>9</t>
  </si>
  <si>
    <t>10</t>
  </si>
  <si>
    <t>11</t>
  </si>
  <si>
    <t>на 01.01.2019 г.</t>
  </si>
  <si>
    <t>КОНТРОЛЬ итога по приложениям: 2,3,4,5</t>
  </si>
  <si>
    <t>КОНТРОЛЬ                                                итогов по приложению: 1</t>
  </si>
  <si>
    <t>КОНТРОЛЬ</t>
  </si>
  <si>
    <t xml:space="preserve">   </t>
  </si>
  <si>
    <t>МКУ "УКС " города Ставрополя</t>
  </si>
  <si>
    <t>12</t>
  </si>
  <si>
    <t>на 01.01.2021 г.</t>
  </si>
  <si>
    <t>плановые назначения на 01.01.2021г.</t>
  </si>
  <si>
    <t>601+605</t>
  </si>
  <si>
    <t>за  9 месяцев 2021 года</t>
  </si>
</sst>
</file>

<file path=xl/styles.xml><?xml version="1.0" encoding="utf-8"?>
<styleSheet xmlns="http://schemas.openxmlformats.org/spreadsheetml/2006/main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#,##0.00;[Red]\-#,##0.00;0.00"/>
    <numFmt numFmtId="167" formatCode="#,##0.00\ _₽"/>
    <numFmt numFmtId="168" formatCode="#,##0.00_ ;\-#,##0.00\ "/>
    <numFmt numFmtId="169" formatCode="#,##0.0"/>
    <numFmt numFmtId="170" formatCode="0.0"/>
  </numFmts>
  <fonts count="69"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30"/>
      <name val="Times New Roman"/>
      <family val="1"/>
      <charset val="204"/>
    </font>
    <font>
      <sz val="30"/>
      <name val="Arial Cyr"/>
      <charset val="204"/>
    </font>
    <font>
      <sz val="26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8"/>
      <name val="Arial Cyr"/>
      <charset val="204"/>
    </font>
    <font>
      <sz val="9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Arial Cyr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21"/>
      <name val="Arial"/>
      <family val="2"/>
      <charset val="204"/>
    </font>
    <font>
      <b/>
      <u/>
      <sz val="21"/>
      <name val="Arial"/>
      <family val="2"/>
      <charset val="204"/>
    </font>
    <font>
      <b/>
      <sz val="21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sz val="15.5"/>
      <name val="Times New Roman"/>
      <family val="1"/>
      <charset val="204"/>
    </font>
    <font>
      <sz val="15.5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name val="Arial Cyr"/>
      <charset val="204"/>
    </font>
    <font>
      <b/>
      <sz val="22"/>
      <color theme="6" tint="0.79998168889431442"/>
      <name val="Arial Cyr"/>
      <charset val="204"/>
    </font>
    <font>
      <sz val="12"/>
      <color theme="6" tint="0.79998168889431442"/>
      <name val="Times New Roman"/>
      <family val="1"/>
      <charset val="204"/>
    </font>
    <font>
      <sz val="16"/>
      <name val="Times New Roman"/>
      <family val="1"/>
      <charset val="204"/>
    </font>
    <font>
      <b/>
      <sz val="20"/>
      <color rgb="FF660066"/>
      <name val="Arial Cyr"/>
      <charset val="204"/>
    </font>
    <font>
      <b/>
      <sz val="20"/>
      <color rgb="FF7030A0"/>
      <name val="Arial Cyr"/>
      <charset val="204"/>
    </font>
    <font>
      <b/>
      <sz val="20"/>
      <color theme="6" tint="0.7999816888943144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6" tint="0.79998168889431442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color theme="6" tint="0.79998168889431442"/>
      <name val="Arial Cyr"/>
      <charset val="204"/>
    </font>
    <font>
      <sz val="10"/>
      <color theme="6" tint="0.79998168889431442"/>
      <name val="Arial"/>
      <family val="2"/>
      <charset val="204"/>
    </font>
    <font>
      <b/>
      <sz val="10"/>
      <color theme="6" tint="0.79998168889431442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20"/>
      <color theme="6" tint="0.79998168889431442"/>
      <name val="Arial Cyr"/>
      <charset val="204"/>
    </font>
    <font>
      <sz val="16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08">
    <xf numFmtId="0" fontId="0" fillId="0" borderId="0" xfId="0"/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0" xfId="0" applyFont="1" applyAlignment="1">
      <alignment wrapText="1"/>
    </xf>
    <xf numFmtId="164" fontId="15" fillId="0" borderId="0" xfId="1" applyFont="1" applyAlignment="1">
      <alignment wrapText="1"/>
    </xf>
    <xf numFmtId="0" fontId="13" fillId="0" borderId="0" xfId="0" applyFont="1"/>
    <xf numFmtId="0" fontId="0" fillId="3" borderId="0" xfId="0" applyFill="1"/>
    <xf numFmtId="0" fontId="1" fillId="3" borderId="1" xfId="0" applyFont="1" applyFill="1" applyBorder="1" applyAlignment="1">
      <alignment vertical="top" wrapText="1"/>
    </xf>
    <xf numFmtId="49" fontId="3" fillId="3" borderId="11" xfId="0" applyNumberFormat="1" applyFont="1" applyFill="1" applyBorder="1" applyAlignment="1">
      <alignment horizontal="center" vertical="top" wrapText="1"/>
    </xf>
    <xf numFmtId="49" fontId="1" fillId="3" borderId="13" xfId="0" applyNumberFormat="1" applyFont="1" applyFill="1" applyBorder="1" applyAlignment="1">
      <alignment horizontal="center" vertical="top" wrapText="1"/>
    </xf>
    <xf numFmtId="0" fontId="7" fillId="3" borderId="0" xfId="0" applyFont="1" applyFill="1"/>
    <xf numFmtId="0" fontId="8" fillId="3" borderId="0" xfId="0" applyFont="1" applyFill="1"/>
    <xf numFmtId="49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/>
    <xf numFmtId="0" fontId="7" fillId="3" borderId="0" xfId="0" applyFont="1" applyFill="1" applyAlignment="1">
      <alignment horizontal="center"/>
    </xf>
    <xf numFmtId="0" fontId="1" fillId="3" borderId="19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top" wrapText="1"/>
    </xf>
    <xf numFmtId="49" fontId="1" fillId="3" borderId="14" xfId="0" applyNumberFormat="1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vertical="top" wrapText="1"/>
    </xf>
    <xf numFmtId="49" fontId="1" fillId="3" borderId="6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49" fontId="1" fillId="3" borderId="0" xfId="0" applyNumberFormat="1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vertical="top" wrapText="1"/>
    </xf>
    <xf numFmtId="0" fontId="0" fillId="3" borderId="0" xfId="0" applyFill="1" applyBorder="1" applyAlignment="1">
      <alignment horizontal="center" vertical="center"/>
    </xf>
    <xf numFmtId="0" fontId="3" fillId="3" borderId="0" xfId="0" applyFont="1" applyFill="1" applyBorder="1" applyAlignment="1">
      <alignment vertical="top" wrapText="1"/>
    </xf>
    <xf numFmtId="0" fontId="11" fillId="3" borderId="0" xfId="0" applyFont="1" applyFill="1"/>
    <xf numFmtId="0" fontId="20" fillId="3" borderId="0" xfId="0" applyFont="1" applyFill="1"/>
    <xf numFmtId="0" fontId="20" fillId="3" borderId="0" xfId="0" applyFont="1" applyFill="1" applyAlignment="1"/>
    <xf numFmtId="0" fontId="20" fillId="3" borderId="0" xfId="0" applyFont="1" applyFill="1" applyAlignment="1">
      <alignment horizontal="center"/>
    </xf>
    <xf numFmtId="0" fontId="20" fillId="3" borderId="0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top" wrapText="1"/>
    </xf>
    <xf numFmtId="49" fontId="20" fillId="4" borderId="14" xfId="0" applyNumberFormat="1" applyFont="1" applyFill="1" applyBorder="1" applyAlignment="1">
      <alignment horizontal="center" vertical="top" wrapText="1"/>
    </xf>
    <xf numFmtId="0" fontId="20" fillId="4" borderId="15" xfId="0" applyFont="1" applyFill="1" applyBorder="1" applyAlignment="1">
      <alignment horizontal="center" vertical="top" wrapText="1"/>
    </xf>
    <xf numFmtId="0" fontId="22" fillId="4" borderId="7" xfId="0" applyFont="1" applyFill="1" applyBorder="1" applyAlignment="1">
      <alignment vertical="top" wrapText="1"/>
    </xf>
    <xf numFmtId="0" fontId="22" fillId="4" borderId="12" xfId="0" applyFont="1" applyFill="1" applyBorder="1" applyAlignment="1">
      <alignment vertical="top" wrapText="1"/>
    </xf>
    <xf numFmtId="0" fontId="20" fillId="4" borderId="1" xfId="0" applyFont="1" applyFill="1" applyBorder="1" applyAlignment="1">
      <alignment vertical="top" wrapText="1"/>
    </xf>
    <xf numFmtId="0" fontId="20" fillId="4" borderId="2" xfId="0" applyFont="1" applyFill="1" applyBorder="1" applyAlignment="1">
      <alignment vertical="top" wrapText="1"/>
    </xf>
    <xf numFmtId="0" fontId="20" fillId="4" borderId="2" xfId="0" applyFont="1" applyFill="1" applyBorder="1"/>
    <xf numFmtId="0" fontId="20" fillId="4" borderId="4" xfId="0" applyFont="1" applyFill="1" applyBorder="1"/>
    <xf numFmtId="164" fontId="6" fillId="4" borderId="1" xfId="2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vertical="top" wrapText="1"/>
    </xf>
    <xf numFmtId="0" fontId="20" fillId="4" borderId="5" xfId="0" applyFont="1" applyFill="1" applyBorder="1" applyAlignment="1">
      <alignment vertical="top" wrapText="1"/>
    </xf>
    <xf numFmtId="0" fontId="20" fillId="4" borderId="9" xfId="0" applyFont="1" applyFill="1" applyBorder="1" applyAlignment="1">
      <alignment vertical="top" wrapText="1"/>
    </xf>
    <xf numFmtId="0" fontId="29" fillId="4" borderId="7" xfId="0" applyFont="1" applyFill="1" applyBorder="1" applyAlignment="1">
      <alignment horizontal="center" vertical="top" wrapText="1"/>
    </xf>
    <xf numFmtId="0" fontId="29" fillId="4" borderId="12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/>
    </xf>
    <xf numFmtId="0" fontId="20" fillId="4" borderId="17" xfId="0" applyFont="1" applyFill="1" applyBorder="1" applyAlignment="1">
      <alignment horizontal="center" vertical="center" wrapText="1"/>
    </xf>
    <xf numFmtId="2" fontId="29" fillId="4" borderId="7" xfId="0" applyNumberFormat="1" applyFont="1" applyFill="1" applyBorder="1" applyAlignment="1">
      <alignment horizontal="center" vertical="top" wrapText="1"/>
    </xf>
    <xf numFmtId="164" fontId="29" fillId="4" borderId="1" xfId="2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20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49" fontId="1" fillId="4" borderId="13" xfId="0" applyNumberFormat="1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49" fontId="1" fillId="4" borderId="14" xfId="0" applyNumberFormat="1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49" fontId="3" fillId="4" borderId="3" xfId="0" applyNumberFormat="1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0" fillId="3" borderId="0" xfId="0" applyFill="1" applyAlignment="1">
      <alignment horizontal="center"/>
    </xf>
    <xf numFmtId="0" fontId="1" fillId="3" borderId="0" xfId="0" applyFont="1" applyFill="1" applyBorder="1" applyAlignment="1">
      <alignment horizontal="center" vertical="top" wrapText="1"/>
    </xf>
    <xf numFmtId="49" fontId="3" fillId="4" borderId="11" xfId="0" applyNumberFormat="1" applyFont="1" applyFill="1" applyBorder="1" applyAlignment="1">
      <alignment horizontal="center" vertical="top" wrapText="1"/>
    </xf>
    <xf numFmtId="49" fontId="1" fillId="4" borderId="6" xfId="0" applyNumberFormat="1" applyFont="1" applyFill="1" applyBorder="1" applyAlignment="1">
      <alignment horizontal="center" vertical="top" wrapText="1"/>
    </xf>
    <xf numFmtId="49" fontId="1" fillId="4" borderId="3" xfId="0" applyNumberFormat="1" applyFont="1" applyFill="1" applyBorder="1" applyAlignment="1">
      <alignment horizontal="center" vertical="top" wrapText="1"/>
    </xf>
    <xf numFmtId="49" fontId="1" fillId="4" borderId="10" xfId="0" applyNumberFormat="1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vertical="top" wrapText="1"/>
    </xf>
    <xf numFmtId="0" fontId="12" fillId="4" borderId="1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49" fontId="5" fillId="4" borderId="11" xfId="0" applyNumberFormat="1" applyFont="1" applyFill="1" applyBorder="1" applyAlignment="1">
      <alignment horizontal="center" vertical="top" wrapText="1"/>
    </xf>
    <xf numFmtId="0" fontId="5" fillId="4" borderId="20" xfId="0" applyFont="1" applyFill="1" applyBorder="1" applyAlignment="1">
      <alignment vertical="top" wrapText="1"/>
    </xf>
    <xf numFmtId="49" fontId="5" fillId="4" borderId="3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49" fontId="23" fillId="4" borderId="3" xfId="0" applyNumberFormat="1" applyFont="1" applyFill="1" applyBorder="1" applyAlignment="1">
      <alignment vertical="top" wrapText="1"/>
    </xf>
    <xf numFmtId="0" fontId="23" fillId="4" borderId="1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center" wrapText="1"/>
    </xf>
    <xf numFmtId="0" fontId="11" fillId="5" borderId="0" xfId="0" applyFont="1" applyFill="1"/>
    <xf numFmtId="49" fontId="23" fillId="4" borderId="11" xfId="0" applyNumberFormat="1" applyFont="1" applyFill="1" applyBorder="1" applyAlignment="1">
      <alignment horizontal="center" vertical="top" wrapText="1"/>
    </xf>
    <xf numFmtId="0" fontId="23" fillId="4" borderId="20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49" fontId="5" fillId="4" borderId="3" xfId="0" applyNumberFormat="1" applyFont="1" applyFill="1" applyBorder="1" applyAlignment="1">
      <alignment vertical="top" wrapText="1"/>
    </xf>
    <xf numFmtId="0" fontId="0" fillId="4" borderId="0" xfId="0" applyFill="1"/>
    <xf numFmtId="4" fontId="38" fillId="3" borderId="0" xfId="0" applyNumberFormat="1" applyFont="1" applyFill="1" applyBorder="1" applyAlignment="1">
      <alignment horizontal="center" vertical="center" wrapText="1"/>
    </xf>
    <xf numFmtId="0" fontId="39" fillId="3" borderId="0" xfId="0" applyFont="1" applyFill="1" applyAlignment="1">
      <alignment horizontal="center" vertical="center"/>
    </xf>
    <xf numFmtId="4" fontId="0" fillId="3" borderId="0" xfId="0" applyNumberFormat="1" applyFill="1"/>
    <xf numFmtId="4" fontId="39" fillId="3" borderId="0" xfId="0" applyNumberFormat="1" applyFont="1" applyFill="1" applyAlignment="1">
      <alignment horizontal="center" vertical="center"/>
    </xf>
    <xf numFmtId="0" fontId="35" fillId="3" borderId="0" xfId="0" applyFont="1" applyFill="1"/>
    <xf numFmtId="168" fontId="34" fillId="3" borderId="0" xfId="0" applyNumberFormat="1" applyFont="1" applyFill="1"/>
    <xf numFmtId="4" fontId="34" fillId="3" borderId="0" xfId="0" applyNumberFormat="1" applyFont="1" applyFill="1"/>
    <xf numFmtId="0" fontId="6" fillId="3" borderId="0" xfId="0" applyFont="1" applyFill="1" applyAlignment="1">
      <alignment horizontal="left"/>
    </xf>
    <xf numFmtId="0" fontId="20" fillId="6" borderId="0" xfId="0" applyFont="1" applyFill="1"/>
    <xf numFmtId="0" fontId="20" fillId="6" borderId="17" xfId="0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20" fillId="6" borderId="14" xfId="0" applyFont="1" applyFill="1" applyBorder="1" applyAlignment="1">
      <alignment horizontal="center" vertical="top" wrapText="1"/>
    </xf>
    <xf numFmtId="49" fontId="20" fillId="6" borderId="14" xfId="0" applyNumberFormat="1" applyFont="1" applyFill="1" applyBorder="1" applyAlignment="1">
      <alignment horizontal="center" vertical="top" wrapText="1"/>
    </xf>
    <xf numFmtId="0" fontId="20" fillId="6" borderId="15" xfId="0" applyFont="1" applyFill="1" applyBorder="1" applyAlignment="1">
      <alignment horizontal="center" vertical="top" wrapText="1"/>
    </xf>
    <xf numFmtId="0" fontId="22" fillId="6" borderId="7" xfId="0" applyFont="1" applyFill="1" applyBorder="1" applyAlignment="1">
      <alignment vertical="top" wrapText="1"/>
    </xf>
    <xf numFmtId="0" fontId="29" fillId="6" borderId="7" xfId="0" applyFont="1" applyFill="1" applyBorder="1" applyAlignment="1">
      <alignment vertical="top" wrapText="1"/>
    </xf>
    <xf numFmtId="164" fontId="29" fillId="6" borderId="7" xfId="2" applyFont="1" applyFill="1" applyBorder="1" applyAlignment="1">
      <alignment vertical="top" wrapText="1"/>
    </xf>
    <xf numFmtId="2" fontId="29" fillId="6" borderId="7" xfId="0" applyNumberFormat="1" applyFont="1" applyFill="1" applyBorder="1" applyAlignment="1">
      <alignment vertical="top" wrapText="1"/>
    </xf>
    <xf numFmtId="0" fontId="29" fillId="6" borderId="12" xfId="0" applyFont="1" applyFill="1" applyBorder="1" applyAlignment="1">
      <alignment vertical="top" wrapText="1"/>
    </xf>
    <xf numFmtId="0" fontId="20" fillId="6" borderId="1" xfId="0" applyFont="1" applyFill="1" applyBorder="1" applyAlignment="1">
      <alignment vertical="top" wrapText="1"/>
    </xf>
    <xf numFmtId="0" fontId="6" fillId="6" borderId="1" xfId="0" applyFont="1" applyFill="1" applyBorder="1" applyAlignment="1">
      <alignment vertical="top" wrapText="1"/>
    </xf>
    <xf numFmtId="164" fontId="6" fillId="6" borderId="1" xfId="2" applyFont="1" applyFill="1" applyBorder="1" applyAlignment="1">
      <alignment horizontal="center" vertical="center" wrapText="1"/>
    </xf>
    <xf numFmtId="164" fontId="6" fillId="6" borderId="1" xfId="2" applyFont="1" applyFill="1" applyBorder="1" applyAlignment="1">
      <alignment vertical="top" wrapText="1"/>
    </xf>
    <xf numFmtId="0" fontId="6" fillId="6" borderId="1" xfId="0" applyFont="1" applyFill="1" applyBorder="1" applyAlignment="1">
      <alignment horizontal="right" vertical="top" wrapText="1"/>
    </xf>
    <xf numFmtId="0" fontId="6" fillId="6" borderId="2" xfId="0" applyFont="1" applyFill="1" applyBorder="1" applyAlignment="1">
      <alignment vertical="top" wrapText="1"/>
    </xf>
    <xf numFmtId="0" fontId="6" fillId="6" borderId="8" xfId="0" applyFont="1" applyFill="1" applyBorder="1" applyAlignment="1">
      <alignment vertical="top" wrapText="1"/>
    </xf>
    <xf numFmtId="0" fontId="6" fillId="6" borderId="2" xfId="0" applyFont="1" applyFill="1" applyBorder="1"/>
    <xf numFmtId="0" fontId="6" fillId="6" borderId="5" xfId="0" applyFont="1" applyFill="1" applyBorder="1" applyAlignment="1">
      <alignment vertical="top" wrapText="1"/>
    </xf>
    <xf numFmtId="164" fontId="6" fillId="6" borderId="5" xfId="2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vertical="top" wrapText="1"/>
    </xf>
    <xf numFmtId="0" fontId="6" fillId="6" borderId="4" xfId="0" applyFont="1" applyFill="1" applyBorder="1"/>
    <xf numFmtId="0" fontId="20" fillId="3" borderId="14" xfId="0" applyFont="1" applyFill="1" applyBorder="1" applyAlignment="1">
      <alignment horizontal="center" vertical="top" wrapText="1"/>
    </xf>
    <xf numFmtId="49" fontId="20" fillId="3" borderId="14" xfId="0" applyNumberFormat="1" applyFont="1" applyFill="1" applyBorder="1" applyAlignment="1">
      <alignment horizontal="center" vertical="top" wrapText="1"/>
    </xf>
    <xf numFmtId="0" fontId="20" fillId="3" borderId="15" xfId="0" applyFont="1" applyFill="1" applyBorder="1" applyAlignment="1">
      <alignment horizontal="center" vertical="top" wrapText="1"/>
    </xf>
    <xf numFmtId="0" fontId="29" fillId="3" borderId="7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20" fillId="3" borderId="17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43" fontId="20" fillId="3" borderId="0" xfId="0" applyNumberFormat="1" applyFont="1" applyFill="1"/>
    <xf numFmtId="0" fontId="12" fillId="3" borderId="5" xfId="0" applyFont="1" applyFill="1" applyBorder="1" applyAlignment="1">
      <alignment vertical="top" wrapText="1"/>
    </xf>
    <xf numFmtId="0" fontId="12" fillId="3" borderId="2" xfId="0" applyFont="1" applyFill="1" applyBorder="1" applyAlignment="1">
      <alignment vertical="top" wrapText="1"/>
    </xf>
    <xf numFmtId="0" fontId="12" fillId="3" borderId="5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4" fontId="20" fillId="3" borderId="0" xfId="0" applyNumberFormat="1" applyFont="1" applyFill="1"/>
    <xf numFmtId="0" fontId="0" fillId="3" borderId="0" xfId="0" applyFont="1" applyFill="1"/>
    <xf numFmtId="0" fontId="27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9" fontId="1" fillId="3" borderId="10" xfId="0" applyNumberFormat="1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vertical="top" wrapText="1"/>
    </xf>
    <xf numFmtId="49" fontId="3" fillId="3" borderId="3" xfId="0" applyNumberFormat="1" applyFont="1" applyFill="1" applyBorder="1" applyAlignment="1">
      <alignment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47" fillId="3" borderId="0" xfId="0" applyFont="1" applyFill="1"/>
    <xf numFmtId="0" fontId="47" fillId="3" borderId="0" xfId="0" applyFont="1" applyFill="1" applyAlignment="1">
      <alignment horizontal="center"/>
    </xf>
    <xf numFmtId="4" fontId="29" fillId="3" borderId="0" xfId="0" applyNumberFormat="1" applyFont="1" applyFill="1"/>
    <xf numFmtId="0" fontId="6" fillId="3" borderId="0" xfId="0" applyFont="1" applyFill="1"/>
    <xf numFmtId="0" fontId="49" fillId="3" borderId="0" xfId="0" applyFont="1" applyFill="1"/>
    <xf numFmtId="4" fontId="6" fillId="3" borderId="1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vertical="top" wrapText="1"/>
    </xf>
    <xf numFmtId="4" fontId="31" fillId="0" borderId="1" xfId="0" applyNumberFormat="1" applyFont="1" applyBorder="1" applyAlignment="1">
      <alignment horizontal="center" vertical="center" wrapText="1"/>
    </xf>
    <xf numFmtId="4" fontId="31" fillId="2" borderId="1" xfId="0" applyNumberFormat="1" applyFont="1" applyFill="1" applyBorder="1" applyAlignment="1">
      <alignment vertical="top" wrapText="1"/>
    </xf>
    <xf numFmtId="4" fontId="31" fillId="0" borderId="1" xfId="0" applyNumberFormat="1" applyFont="1" applyBorder="1" applyAlignment="1">
      <alignment vertical="top" wrapText="1"/>
    </xf>
    <xf numFmtId="0" fontId="31" fillId="0" borderId="5" xfId="0" applyFont="1" applyBorder="1" applyAlignment="1">
      <alignment vertical="top" wrapText="1"/>
    </xf>
    <xf numFmtId="4" fontId="31" fillId="0" borderId="5" xfId="0" applyNumberFormat="1" applyFont="1" applyBorder="1" applyAlignment="1">
      <alignment horizontal="center" vertical="center" wrapText="1"/>
    </xf>
    <xf numFmtId="4" fontId="31" fillId="2" borderId="5" xfId="0" applyNumberFormat="1" applyFont="1" applyFill="1" applyBorder="1" applyAlignment="1">
      <alignment vertical="top" wrapText="1"/>
    </xf>
    <xf numFmtId="4" fontId="31" fillId="0" borderId="5" xfId="0" applyNumberFormat="1" applyFont="1" applyBorder="1" applyAlignment="1">
      <alignment vertical="top" wrapText="1"/>
    </xf>
    <xf numFmtId="0" fontId="21" fillId="3" borderId="1" xfId="0" applyFont="1" applyFill="1" applyBorder="1"/>
    <xf numFmtId="0" fontId="10" fillId="0" borderId="1" xfId="0" applyFont="1" applyBorder="1" applyAlignment="1">
      <alignment vertical="top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4" fontId="10" fillId="0" borderId="5" xfId="0" applyNumberFormat="1" applyFont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vertical="top" wrapText="1"/>
    </xf>
    <xf numFmtId="4" fontId="22" fillId="3" borderId="27" xfId="0" applyNumberFormat="1" applyFont="1" applyFill="1" applyBorder="1" applyAlignment="1">
      <alignment horizontal="center" vertical="center" wrapText="1"/>
    </xf>
    <xf numFmtId="4" fontId="22" fillId="3" borderId="38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vertical="top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7" fillId="3" borderId="17" xfId="0" applyFont="1" applyFill="1" applyBorder="1" applyAlignment="1">
      <alignment horizontal="center" vertical="center" wrapText="1"/>
    </xf>
    <xf numFmtId="0" fontId="21" fillId="0" borderId="2" xfId="0" applyFont="1" applyBorder="1"/>
    <xf numFmtId="0" fontId="21" fillId="0" borderId="4" xfId="0" applyFont="1" applyBorder="1"/>
    <xf numFmtId="4" fontId="28" fillId="12" borderId="7" xfId="0" applyNumberFormat="1" applyFont="1" applyFill="1" applyBorder="1" applyAlignment="1">
      <alignment vertical="top" wrapText="1"/>
    </xf>
    <xf numFmtId="4" fontId="24" fillId="0" borderId="1" xfId="0" applyNumberFormat="1" applyFont="1" applyBorder="1" applyAlignment="1">
      <alignment vertical="top" wrapText="1"/>
    </xf>
    <xf numFmtId="4" fontId="24" fillId="0" borderId="1" xfId="0" applyNumberFormat="1" applyFont="1" applyBorder="1" applyAlignment="1">
      <alignment horizontal="center" vertical="top" wrapText="1"/>
    </xf>
    <xf numFmtId="0" fontId="30" fillId="12" borderId="7" xfId="0" applyFont="1" applyFill="1" applyBorder="1" applyAlignment="1">
      <alignment vertical="top" wrapText="1"/>
    </xf>
    <xf numFmtId="4" fontId="30" fillId="12" borderId="7" xfId="0" applyNumberFormat="1" applyFont="1" applyFill="1" applyBorder="1" applyAlignment="1">
      <alignment vertical="top" wrapText="1"/>
    </xf>
    <xf numFmtId="0" fontId="31" fillId="0" borderId="1" xfId="0" applyFont="1" applyFill="1" applyBorder="1" applyAlignment="1">
      <alignment horizontal="center" vertical="top" wrapText="1"/>
    </xf>
    <xf numFmtId="0" fontId="32" fillId="0" borderId="7" xfId="0" applyFont="1" applyFill="1" applyBorder="1" applyAlignment="1">
      <alignment vertical="top" wrapText="1"/>
    </xf>
    <xf numFmtId="4" fontId="32" fillId="0" borderId="7" xfId="0" applyNumberFormat="1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center" vertical="top" wrapText="1"/>
    </xf>
    <xf numFmtId="4" fontId="51" fillId="3" borderId="0" xfId="0" applyNumberFormat="1" applyFont="1" applyFill="1"/>
    <xf numFmtId="4" fontId="20" fillId="3" borderId="2" xfId="0" applyNumberFormat="1" applyFont="1" applyFill="1" applyBorder="1" applyAlignment="1">
      <alignment horizontal="center" vertical="center" wrapText="1"/>
    </xf>
    <xf numFmtId="0" fontId="52" fillId="3" borderId="0" xfId="0" applyFont="1" applyFill="1"/>
    <xf numFmtId="168" fontId="52" fillId="3" borderId="0" xfId="0" applyNumberFormat="1" applyFont="1" applyFill="1"/>
    <xf numFmtId="49" fontId="3" fillId="3" borderId="13" xfId="0" applyNumberFormat="1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vertical="top" wrapText="1"/>
    </xf>
    <xf numFmtId="49" fontId="1" fillId="3" borderId="36" xfId="0" applyNumberFormat="1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49" fontId="1" fillId="3" borderId="37" xfId="0" applyNumberFormat="1" applyFont="1" applyFill="1" applyBorder="1" applyAlignment="1">
      <alignment horizontal="center" vertical="top" wrapText="1"/>
    </xf>
    <xf numFmtId="49" fontId="3" fillId="3" borderId="13" xfId="0" applyNumberFormat="1" applyFont="1" applyFill="1" applyBorder="1" applyAlignment="1">
      <alignment vertical="top" wrapText="1"/>
    </xf>
    <xf numFmtId="49" fontId="1" fillId="3" borderId="30" xfId="0" applyNumberFormat="1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vertical="top" wrapText="1"/>
    </xf>
    <xf numFmtId="4" fontId="52" fillId="3" borderId="0" xfId="0" applyNumberFormat="1" applyFont="1" applyFill="1"/>
    <xf numFmtId="0" fontId="1" fillId="3" borderId="13" xfId="0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0" fontId="23" fillId="3" borderId="20" xfId="0" applyFont="1" applyFill="1" applyBorder="1" applyAlignment="1">
      <alignment vertical="top" wrapText="1"/>
    </xf>
    <xf numFmtId="49" fontId="5" fillId="3" borderId="3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49" fontId="23" fillId="3" borderId="3" xfId="0" applyNumberFormat="1" applyFont="1" applyFill="1" applyBorder="1" applyAlignment="1">
      <alignment vertical="top" wrapText="1"/>
    </xf>
    <xf numFmtId="0" fontId="23" fillId="3" borderId="1" xfId="0" applyFont="1" applyFill="1" applyBorder="1" applyAlignment="1">
      <alignment vertical="top" wrapText="1"/>
    </xf>
    <xf numFmtId="4" fontId="52" fillId="3" borderId="0" xfId="0" applyNumberFormat="1" applyFont="1" applyFill="1" applyAlignment="1">
      <alignment horizontal="center"/>
    </xf>
    <xf numFmtId="0" fontId="53" fillId="3" borderId="0" xfId="0" applyFont="1" applyFill="1" applyAlignment="1">
      <alignment horizontal="center" vertical="center"/>
    </xf>
    <xf numFmtId="0" fontId="53" fillId="3" borderId="0" xfId="0" applyFont="1" applyFill="1"/>
    <xf numFmtId="0" fontId="33" fillId="0" borderId="1" xfId="0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 wrapText="1"/>
    </xf>
    <xf numFmtId="4" fontId="54" fillId="3" borderId="1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top" wrapText="1"/>
    </xf>
    <xf numFmtId="4" fontId="30" fillId="3" borderId="7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/>
    </xf>
    <xf numFmtId="0" fontId="37" fillId="3" borderId="7" xfId="0" applyFont="1" applyFill="1" applyBorder="1" applyAlignment="1">
      <alignment vertical="top" wrapText="1"/>
    </xf>
    <xf numFmtId="0" fontId="37" fillId="3" borderId="12" xfId="0" applyFont="1" applyFill="1" applyBorder="1" applyAlignment="1">
      <alignment vertical="top" wrapText="1"/>
    </xf>
    <xf numFmtId="0" fontId="12" fillId="3" borderId="8" xfId="0" applyFont="1" applyFill="1" applyBorder="1" applyAlignment="1">
      <alignment vertical="top" wrapText="1"/>
    </xf>
    <xf numFmtId="0" fontId="21" fillId="3" borderId="2" xfId="0" applyFont="1" applyFill="1" applyBorder="1"/>
    <xf numFmtId="0" fontId="12" fillId="3" borderId="9" xfId="0" applyFont="1" applyFill="1" applyBorder="1" applyAlignment="1">
      <alignment vertical="top" wrapText="1"/>
    </xf>
    <xf numFmtId="0" fontId="21" fillId="3" borderId="4" xfId="0" applyFont="1" applyFill="1" applyBorder="1"/>
    <xf numFmtId="0" fontId="33" fillId="2" borderId="7" xfId="0" applyFont="1" applyFill="1" applyBorder="1" applyAlignment="1">
      <alignment horizontal="center" vertical="center" wrapText="1"/>
    </xf>
    <xf numFmtId="4" fontId="33" fillId="2" borderId="7" xfId="0" applyNumberFormat="1" applyFont="1" applyFill="1" applyBorder="1" applyAlignment="1">
      <alignment horizontal="center" vertical="center" wrapText="1"/>
    </xf>
    <xf numFmtId="3" fontId="33" fillId="2" borderId="7" xfId="0" applyNumberFormat="1" applyFont="1" applyFill="1" applyBorder="1" applyAlignment="1">
      <alignment horizontal="center" vertical="center" wrapText="1"/>
    </xf>
    <xf numFmtId="0" fontId="33" fillId="2" borderId="12" xfId="0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0" fillId="13" borderId="1" xfId="0" applyFont="1" applyFill="1" applyBorder="1" applyAlignment="1">
      <alignment horizontal="center" vertical="center" wrapText="1"/>
    </xf>
    <xf numFmtId="4" fontId="50" fillId="2" borderId="1" xfId="0" applyNumberFormat="1" applyFont="1" applyFill="1" applyBorder="1" applyAlignment="1">
      <alignment horizontal="center" vertical="center" wrapText="1"/>
    </xf>
    <xf numFmtId="4" fontId="50" fillId="2" borderId="7" xfId="0" applyNumberFormat="1" applyFont="1" applyFill="1" applyBorder="1" applyAlignment="1">
      <alignment horizontal="center" vertical="center" wrapText="1"/>
    </xf>
    <xf numFmtId="4" fontId="50" fillId="0" borderId="1" xfId="0" applyNumberFormat="1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/>
    </xf>
    <xf numFmtId="0" fontId="50" fillId="0" borderId="5" xfId="0" applyFont="1" applyBorder="1" applyAlignment="1">
      <alignment horizontal="center" vertical="center" wrapText="1"/>
    </xf>
    <xf numFmtId="4" fontId="50" fillId="0" borderId="5" xfId="0" applyNumberFormat="1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/>
    </xf>
    <xf numFmtId="4" fontId="28" fillId="12" borderId="12" xfId="0" applyNumberFormat="1" applyFont="1" applyFill="1" applyBorder="1" applyAlignment="1">
      <alignment vertical="top" wrapText="1"/>
    </xf>
    <xf numFmtId="0" fontId="31" fillId="0" borderId="1" xfId="0" applyFont="1" applyBorder="1" applyAlignment="1">
      <alignment horizontal="center" vertical="top" wrapText="1"/>
    </xf>
    <xf numFmtId="4" fontId="31" fillId="0" borderId="1" xfId="0" applyNumberFormat="1" applyFont="1" applyBorder="1" applyAlignment="1">
      <alignment horizontal="center" vertical="top" wrapText="1"/>
    </xf>
    <xf numFmtId="4" fontId="24" fillId="0" borderId="2" xfId="0" applyNumberFormat="1" applyFont="1" applyBorder="1" applyAlignment="1">
      <alignment vertical="top" wrapText="1"/>
    </xf>
    <xf numFmtId="4" fontId="24" fillId="0" borderId="8" xfId="0" applyNumberFormat="1" applyFont="1" applyBorder="1" applyAlignment="1">
      <alignment vertical="top" wrapText="1"/>
    </xf>
    <xf numFmtId="4" fontId="25" fillId="0" borderId="2" xfId="0" applyNumberFormat="1" applyFont="1" applyBorder="1"/>
    <xf numFmtId="4" fontId="24" fillId="0" borderId="5" xfId="0" applyNumberFormat="1" applyFont="1" applyBorder="1" applyAlignment="1">
      <alignment vertical="top" wrapText="1"/>
    </xf>
    <xf numFmtId="4" fontId="24" fillId="0" borderId="9" xfId="0" applyNumberFormat="1" applyFont="1" applyBorder="1" applyAlignment="1">
      <alignment vertical="top" wrapText="1"/>
    </xf>
    <xf numFmtId="4" fontId="25" fillId="0" borderId="4" xfId="0" applyNumberFormat="1" applyFont="1" applyBorder="1"/>
    <xf numFmtId="0" fontId="12" fillId="0" borderId="1" xfId="0" applyFont="1" applyFill="1" applyBorder="1" applyAlignment="1">
      <alignment vertical="top" wrapText="1"/>
    </xf>
    <xf numFmtId="0" fontId="28" fillId="12" borderId="7" xfId="0" applyFont="1" applyFill="1" applyBorder="1" applyAlignment="1">
      <alignment horizontal="center" vertical="top" wrapText="1"/>
    </xf>
    <xf numFmtId="4" fontId="28" fillId="12" borderId="7" xfId="0" applyNumberFormat="1" applyFont="1" applyFill="1" applyBorder="1" applyAlignment="1">
      <alignment horizontal="center" vertical="top" wrapText="1"/>
    </xf>
    <xf numFmtId="0" fontId="28" fillId="12" borderId="12" xfId="0" applyFont="1" applyFill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/>
    </xf>
    <xf numFmtId="0" fontId="24" fillId="0" borderId="5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/>
    </xf>
    <xf numFmtId="0" fontId="21" fillId="3" borderId="8" xfId="0" applyFont="1" applyFill="1" applyBorder="1"/>
    <xf numFmtId="0" fontId="37" fillId="3" borderId="1" xfId="0" applyFont="1" applyFill="1" applyBorder="1" applyAlignment="1">
      <alignment vertical="top" wrapText="1"/>
    </xf>
    <xf numFmtId="0" fontId="37" fillId="3" borderId="2" xfId="0" applyFont="1" applyFill="1" applyBorder="1" applyAlignment="1">
      <alignment vertical="top" wrapText="1"/>
    </xf>
    <xf numFmtId="0" fontId="21" fillId="0" borderId="1" xfId="0" applyFont="1" applyFill="1" applyBorder="1"/>
    <xf numFmtId="0" fontId="21" fillId="0" borderId="8" xfId="0" applyFont="1" applyFill="1" applyBorder="1"/>
    <xf numFmtId="0" fontId="21" fillId="0" borderId="2" xfId="0" applyFont="1" applyFill="1" applyBorder="1"/>
    <xf numFmtId="0" fontId="21" fillId="0" borderId="1" xfId="0" applyFont="1" applyBorder="1"/>
    <xf numFmtId="0" fontId="21" fillId="0" borderId="8" xfId="0" applyFont="1" applyBorder="1"/>
    <xf numFmtId="0" fontId="12" fillId="0" borderId="5" xfId="0" applyFont="1" applyFill="1" applyBorder="1" applyAlignment="1">
      <alignment vertical="top" wrapText="1"/>
    </xf>
    <xf numFmtId="0" fontId="21" fillId="0" borderId="5" xfId="0" applyFont="1" applyBorder="1"/>
    <xf numFmtId="0" fontId="21" fillId="0" borderId="9" xfId="0" applyFont="1" applyBorder="1"/>
    <xf numFmtId="0" fontId="57" fillId="3" borderId="0" xfId="0" applyFont="1" applyFill="1"/>
    <xf numFmtId="49" fontId="58" fillId="4" borderId="13" xfId="0" applyNumberFormat="1" applyFont="1" applyFill="1" applyBorder="1" applyAlignment="1">
      <alignment horizontal="center" vertical="top" wrapText="1"/>
    </xf>
    <xf numFmtId="49" fontId="59" fillId="4" borderId="11" xfId="0" applyNumberFormat="1" applyFont="1" applyFill="1" applyBorder="1" applyAlignment="1">
      <alignment horizontal="center" vertical="top" wrapText="1"/>
    </xf>
    <xf numFmtId="49" fontId="58" fillId="4" borderId="6" xfId="0" applyNumberFormat="1" applyFont="1" applyFill="1" applyBorder="1" applyAlignment="1">
      <alignment horizontal="center" vertical="top" wrapText="1"/>
    </xf>
    <xf numFmtId="49" fontId="59" fillId="4" borderId="3" xfId="0" applyNumberFormat="1" applyFont="1" applyFill="1" applyBorder="1" applyAlignment="1">
      <alignment vertical="top" wrapText="1"/>
    </xf>
    <xf numFmtId="49" fontId="58" fillId="4" borderId="3" xfId="0" applyNumberFormat="1" applyFont="1" applyFill="1" applyBorder="1" applyAlignment="1">
      <alignment horizontal="center" vertical="top" wrapText="1"/>
    </xf>
    <xf numFmtId="49" fontId="58" fillId="4" borderId="10" xfId="0" applyNumberFormat="1" applyFont="1" applyFill="1" applyBorder="1" applyAlignment="1">
      <alignment horizontal="center" vertical="top" wrapText="1"/>
    </xf>
    <xf numFmtId="0" fontId="60" fillId="3" borderId="7" xfId="0" applyFont="1" applyFill="1" applyBorder="1" applyAlignment="1">
      <alignment horizontal="center" vertical="center" wrapText="1"/>
    </xf>
    <xf numFmtId="4" fontId="60" fillId="3" borderId="1" xfId="0" applyNumberFormat="1" applyFont="1" applyFill="1" applyBorder="1" applyAlignment="1">
      <alignment horizontal="center" vertical="center" wrapText="1"/>
    </xf>
    <xf numFmtId="4" fontId="60" fillId="0" borderId="1" xfId="0" applyNumberFormat="1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horizontal="center" vertical="center" wrapText="1"/>
    </xf>
    <xf numFmtId="4" fontId="61" fillId="3" borderId="1" xfId="0" applyNumberFormat="1" applyFont="1" applyFill="1" applyBorder="1" applyAlignment="1">
      <alignment horizontal="center" vertical="center" wrapText="1"/>
    </xf>
    <xf numFmtId="4" fontId="61" fillId="0" borderId="1" xfId="0" applyNumberFormat="1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60" fillId="3" borderId="1" xfId="0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/>
    </xf>
    <xf numFmtId="0" fontId="61" fillId="0" borderId="1" xfId="0" applyFont="1" applyBorder="1" applyAlignment="1">
      <alignment vertical="top" wrapText="1"/>
    </xf>
    <xf numFmtId="0" fontId="61" fillId="0" borderId="1" xfId="0" applyFont="1" applyFill="1" applyBorder="1" applyAlignment="1">
      <alignment vertical="top" wrapText="1"/>
    </xf>
    <xf numFmtId="0" fontId="26" fillId="0" borderId="1" xfId="0" applyFont="1" applyBorder="1"/>
    <xf numFmtId="0" fontId="26" fillId="3" borderId="0" xfId="0" applyFont="1" applyFill="1"/>
    <xf numFmtId="0" fontId="28" fillId="10" borderId="40" xfId="0" applyFont="1" applyFill="1" applyBorder="1" applyAlignment="1">
      <alignment horizontal="center" vertical="top" wrapText="1"/>
    </xf>
    <xf numFmtId="4" fontId="28" fillId="10" borderId="40" xfId="0" applyNumberFormat="1" applyFont="1" applyFill="1" applyBorder="1" applyAlignment="1">
      <alignment horizontal="center" vertical="top" wrapText="1"/>
    </xf>
    <xf numFmtId="0" fontId="24" fillId="0" borderId="34" xfId="0" applyFont="1" applyBorder="1" applyAlignment="1">
      <alignment horizontal="center" vertical="top" wrapText="1"/>
    </xf>
    <xf numFmtId="4" fontId="24" fillId="10" borderId="34" xfId="0" applyNumberFormat="1" applyFont="1" applyFill="1" applyBorder="1" applyAlignment="1">
      <alignment horizontal="center" vertical="top" wrapText="1"/>
    </xf>
    <xf numFmtId="0" fontId="24" fillId="0" borderId="35" xfId="0" applyFont="1" applyBorder="1" applyAlignment="1">
      <alignment horizontal="center" vertical="top" wrapText="1"/>
    </xf>
    <xf numFmtId="0" fontId="3" fillId="10" borderId="42" xfId="0" applyFont="1" applyFill="1" applyBorder="1" applyAlignment="1">
      <alignment horizontal="center" vertical="top" wrapText="1"/>
    </xf>
    <xf numFmtId="0" fontId="1" fillId="0" borderId="43" xfId="0" applyFont="1" applyBorder="1" applyAlignment="1">
      <alignment horizontal="center" vertical="top" wrapText="1"/>
    </xf>
    <xf numFmtId="0" fontId="0" fillId="14" borderId="43" xfId="0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6" xfId="0" applyBorder="1" applyAlignment="1">
      <alignment horizontal="center"/>
    </xf>
    <xf numFmtId="0" fontId="28" fillId="3" borderId="1" xfId="0" applyFont="1" applyFill="1" applyBorder="1" applyAlignment="1">
      <alignment horizontal="center" vertical="top" wrapText="1"/>
    </xf>
    <xf numFmtId="1" fontId="28" fillId="3" borderId="1" xfId="0" applyNumberFormat="1" applyFont="1" applyFill="1" applyBorder="1" applyAlignment="1">
      <alignment horizontal="center" vertical="top" wrapText="1"/>
    </xf>
    <xf numFmtId="4" fontId="28" fillId="3" borderId="1" xfId="0" applyNumberFormat="1" applyFont="1" applyFill="1" applyBorder="1" applyAlignment="1">
      <alignment horizontal="center" vertical="top" wrapText="1"/>
    </xf>
    <xf numFmtId="3" fontId="28" fillId="3" borderId="1" xfId="0" applyNumberFormat="1" applyFont="1" applyFill="1" applyBorder="1" applyAlignment="1">
      <alignment horizontal="center" vertical="top" wrapText="1"/>
    </xf>
    <xf numFmtId="0" fontId="28" fillId="3" borderId="2" xfId="0" applyFont="1" applyFill="1" applyBorder="1" applyAlignment="1">
      <alignment horizontal="center" vertical="top" wrapText="1"/>
    </xf>
    <xf numFmtId="0" fontId="28" fillId="3" borderId="1" xfId="0" applyNumberFormat="1" applyFont="1" applyFill="1" applyBorder="1" applyAlignment="1">
      <alignment horizontal="center" vertical="top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top" wrapText="1"/>
    </xf>
    <xf numFmtId="1" fontId="28" fillId="3" borderId="5" xfId="0" applyNumberFormat="1" applyFont="1" applyFill="1" applyBorder="1" applyAlignment="1">
      <alignment horizontal="center" vertical="top" wrapText="1"/>
    </xf>
    <xf numFmtId="0" fontId="28" fillId="3" borderId="5" xfId="0" applyFont="1" applyFill="1" applyBorder="1" applyAlignment="1">
      <alignment horizontal="center" vertical="center" wrapText="1"/>
    </xf>
    <xf numFmtId="4" fontId="28" fillId="3" borderId="5" xfId="0" applyNumberFormat="1" applyFont="1" applyFill="1" applyBorder="1" applyAlignment="1">
      <alignment horizontal="center" vertical="top" wrapText="1"/>
    </xf>
    <xf numFmtId="3" fontId="28" fillId="3" borderId="5" xfId="0" applyNumberFormat="1" applyFont="1" applyFill="1" applyBorder="1" applyAlignment="1">
      <alignment horizontal="center" vertical="top" wrapText="1"/>
    </xf>
    <xf numFmtId="0" fontId="28" fillId="3" borderId="4" xfId="0" applyFont="1" applyFill="1" applyBorder="1" applyAlignment="1">
      <alignment horizontal="center" vertical="top" wrapText="1"/>
    </xf>
    <xf numFmtId="0" fontId="54" fillId="0" borderId="1" xfId="0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horizontal="center" vertical="top" wrapText="1"/>
    </xf>
    <xf numFmtId="0" fontId="54" fillId="3" borderId="1" xfId="0" applyFont="1" applyFill="1" applyBorder="1" applyAlignment="1">
      <alignment horizontal="center" vertical="top" wrapText="1"/>
    </xf>
    <xf numFmtId="4" fontId="3" fillId="10" borderId="40" xfId="0" applyNumberFormat="1" applyFont="1" applyFill="1" applyBorder="1" applyAlignment="1">
      <alignment horizontal="center" vertical="top" wrapText="1"/>
    </xf>
    <xf numFmtId="4" fontId="24" fillId="0" borderId="34" xfId="0" applyNumberFormat="1" applyFont="1" applyBorder="1" applyAlignment="1">
      <alignment horizontal="center" vertical="center" wrapText="1"/>
    </xf>
    <xf numFmtId="4" fontId="24" fillId="0" borderId="34" xfId="0" applyNumberFormat="1" applyFont="1" applyBorder="1" applyAlignment="1">
      <alignment horizontal="center" vertical="top" wrapText="1"/>
    </xf>
    <xf numFmtId="4" fontId="1" fillId="0" borderId="34" xfId="0" applyNumberFormat="1" applyFont="1" applyBorder="1" applyAlignment="1">
      <alignment horizontal="center" vertical="top" wrapText="1"/>
    </xf>
    <xf numFmtId="4" fontId="1" fillId="0" borderId="44" xfId="0" applyNumberFormat="1" applyFont="1" applyBorder="1" applyAlignment="1">
      <alignment horizontal="center" vertical="top" wrapText="1"/>
    </xf>
    <xf numFmtId="4" fontId="24" fillId="0" borderId="35" xfId="0" applyNumberFormat="1" applyFont="1" applyBorder="1" applyAlignment="1">
      <alignment horizontal="center" vertical="center" wrapText="1"/>
    </xf>
    <xf numFmtId="4" fontId="24" fillId="0" borderId="35" xfId="0" applyNumberFormat="1" applyFont="1" applyBorder="1" applyAlignment="1">
      <alignment horizontal="center" vertical="top" wrapText="1"/>
    </xf>
    <xf numFmtId="4" fontId="1" fillId="0" borderId="35" xfId="0" applyNumberFormat="1" applyFont="1" applyBorder="1" applyAlignment="1">
      <alignment horizontal="center" vertical="top" wrapText="1"/>
    </xf>
    <xf numFmtId="4" fontId="1" fillId="0" borderId="45" xfId="0" applyNumberFormat="1" applyFont="1" applyBorder="1" applyAlignment="1">
      <alignment horizontal="center" vertical="top" wrapText="1"/>
    </xf>
    <xf numFmtId="0" fontId="29" fillId="3" borderId="7" xfId="0" applyFont="1" applyFill="1" applyBorder="1" applyAlignment="1">
      <alignment horizontal="center" vertical="center" wrapText="1"/>
    </xf>
    <xf numFmtId="4" fontId="29" fillId="3" borderId="7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22" fillId="3" borderId="28" xfId="3" applyNumberFormat="1" applyFont="1" applyFill="1" applyBorder="1" applyAlignment="1" applyProtection="1">
      <alignment horizontal="center" vertical="center"/>
      <protection hidden="1"/>
    </xf>
    <xf numFmtId="166" fontId="22" fillId="3" borderId="21" xfId="3" applyNumberFormat="1" applyFont="1" applyFill="1" applyBorder="1" applyAlignment="1" applyProtection="1">
      <alignment horizontal="center" vertical="center"/>
      <protection hidden="1"/>
    </xf>
    <xf numFmtId="4" fontId="22" fillId="3" borderId="29" xfId="0" applyNumberFormat="1" applyFont="1" applyFill="1" applyBorder="1" applyAlignment="1">
      <alignment horizontal="center" vertical="center" wrapText="1"/>
    </xf>
    <xf numFmtId="4" fontId="20" fillId="3" borderId="17" xfId="0" applyNumberFormat="1" applyFont="1" applyFill="1" applyBorder="1" applyAlignment="1">
      <alignment horizontal="center" vertical="center" wrapText="1"/>
    </xf>
    <xf numFmtId="166" fontId="20" fillId="3" borderId="1" xfId="3" applyNumberFormat="1" applyFont="1" applyFill="1" applyBorder="1" applyAlignment="1" applyProtection="1">
      <alignment horizontal="center" vertical="center"/>
      <protection hidden="1"/>
    </xf>
    <xf numFmtId="4" fontId="20" fillId="3" borderId="4" xfId="0" applyNumberFormat="1" applyFont="1" applyFill="1" applyBorder="1" applyAlignment="1">
      <alignment horizontal="center" vertical="center" wrapText="1"/>
    </xf>
    <xf numFmtId="4" fontId="32" fillId="0" borderId="12" xfId="0" applyNumberFormat="1" applyFont="1" applyFill="1" applyBorder="1" applyAlignment="1">
      <alignment vertical="top" wrapText="1"/>
    </xf>
    <xf numFmtId="4" fontId="10" fillId="0" borderId="1" xfId="0" applyNumberFormat="1" applyFont="1" applyBorder="1" applyAlignment="1">
      <alignment vertical="top" wrapText="1"/>
    </xf>
    <xf numFmtId="4" fontId="10" fillId="0" borderId="2" xfId="0" applyNumberFormat="1" applyFont="1" applyBorder="1" applyAlignment="1">
      <alignment vertical="top" wrapText="1"/>
    </xf>
    <xf numFmtId="4" fontId="10" fillId="0" borderId="8" xfId="0" applyNumberFormat="1" applyFont="1" applyBorder="1" applyAlignment="1">
      <alignment vertical="top" wrapText="1"/>
    </xf>
    <xf numFmtId="4" fontId="10" fillId="0" borderId="2" xfId="0" applyNumberFormat="1" applyFont="1" applyBorder="1"/>
    <xf numFmtId="4" fontId="10" fillId="0" borderId="5" xfId="0" applyNumberFormat="1" applyFont="1" applyBorder="1" applyAlignment="1">
      <alignment vertical="top" wrapText="1"/>
    </xf>
    <xf numFmtId="4" fontId="10" fillId="0" borderId="9" xfId="0" applyNumberFormat="1" applyFont="1" applyBorder="1" applyAlignment="1">
      <alignment vertical="top" wrapText="1"/>
    </xf>
    <xf numFmtId="4" fontId="10" fillId="0" borderId="4" xfId="0" applyNumberFormat="1" applyFont="1" applyBorder="1"/>
    <xf numFmtId="49" fontId="20" fillId="4" borderId="13" xfId="0" applyNumberFormat="1" applyFont="1" applyFill="1" applyBorder="1" applyAlignment="1">
      <alignment horizontal="center" vertical="top" wrapText="1"/>
    </xf>
    <xf numFmtId="49" fontId="22" fillId="4" borderId="11" xfId="0" applyNumberFormat="1" applyFont="1" applyFill="1" applyBorder="1" applyAlignment="1">
      <alignment horizontal="center" vertical="top" wrapText="1"/>
    </xf>
    <xf numFmtId="49" fontId="20" fillId="4" borderId="3" xfId="0" applyNumberFormat="1" applyFont="1" applyFill="1" applyBorder="1" applyAlignment="1">
      <alignment horizontal="center" vertical="top" wrapText="1"/>
    </xf>
    <xf numFmtId="49" fontId="20" fillId="4" borderId="10" xfId="0" applyNumberFormat="1" applyFont="1" applyFill="1" applyBorder="1" applyAlignment="1">
      <alignment horizontal="center" vertical="top" wrapText="1"/>
    </xf>
    <xf numFmtId="164" fontId="44" fillId="3" borderId="7" xfId="2" applyFont="1" applyFill="1" applyBorder="1" applyAlignment="1">
      <alignment vertical="center" wrapText="1"/>
    </xf>
    <xf numFmtId="4" fontId="44" fillId="3" borderId="7" xfId="0" applyNumberFormat="1" applyFont="1" applyFill="1" applyBorder="1" applyAlignment="1">
      <alignment vertical="center" wrapText="1"/>
    </xf>
    <xf numFmtId="4" fontId="44" fillId="3" borderId="12" xfId="0" applyNumberFormat="1" applyFont="1" applyFill="1" applyBorder="1" applyAlignment="1">
      <alignment vertical="center" wrapText="1"/>
    </xf>
    <xf numFmtId="164" fontId="45" fillId="3" borderId="1" xfId="2" applyFont="1" applyFill="1" applyBorder="1" applyAlignment="1">
      <alignment vertical="center" wrapText="1"/>
    </xf>
    <xf numFmtId="164" fontId="45" fillId="3" borderId="1" xfId="2" applyFont="1" applyFill="1" applyBorder="1" applyAlignment="1">
      <alignment horizontal="center" vertical="center" wrapText="1"/>
    </xf>
    <xf numFmtId="4" fontId="45" fillId="3" borderId="1" xfId="0" applyNumberFormat="1" applyFont="1" applyFill="1" applyBorder="1" applyAlignment="1">
      <alignment vertical="center" wrapText="1"/>
    </xf>
    <xf numFmtId="4" fontId="45" fillId="3" borderId="1" xfId="2" applyNumberFormat="1" applyFont="1" applyFill="1" applyBorder="1" applyAlignment="1">
      <alignment vertical="center" wrapText="1"/>
    </xf>
    <xf numFmtId="164" fontId="45" fillId="3" borderId="5" xfId="2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" fontId="31" fillId="0" borderId="1" xfId="0" applyNumberFormat="1" applyFont="1" applyFill="1" applyBorder="1" applyAlignment="1">
      <alignment vertical="top" wrapText="1"/>
    </xf>
    <xf numFmtId="4" fontId="36" fillId="0" borderId="1" xfId="0" applyNumberFormat="1" applyFont="1" applyFill="1" applyBorder="1" applyAlignment="1">
      <alignment vertical="top"/>
    </xf>
    <xf numFmtId="4" fontId="36" fillId="0" borderId="1" xfId="0" applyNumberFormat="1" applyFont="1" applyBorder="1" applyAlignment="1">
      <alignment vertical="top"/>
    </xf>
    <xf numFmtId="4" fontId="36" fillId="0" borderId="8" xfId="0" applyNumberFormat="1" applyFont="1" applyBorder="1" applyAlignment="1">
      <alignment vertical="top"/>
    </xf>
    <xf numFmtId="4" fontId="36" fillId="0" borderId="2" xfId="0" applyNumberFormat="1" applyFont="1" applyBorder="1" applyAlignment="1">
      <alignment vertical="top"/>
    </xf>
    <xf numFmtId="4" fontId="36" fillId="0" borderId="1" xfId="0" applyNumberFormat="1" applyFont="1" applyFill="1" applyBorder="1"/>
    <xf numFmtId="4" fontId="36" fillId="0" borderId="1" xfId="0" applyNumberFormat="1" applyFont="1" applyBorder="1"/>
    <xf numFmtId="4" fontId="36" fillId="0" borderId="8" xfId="0" applyNumberFormat="1" applyFont="1" applyBorder="1"/>
    <xf numFmtId="4" fontId="36" fillId="0" borderId="2" xfId="0" applyNumberFormat="1" applyFont="1" applyBorder="1"/>
    <xf numFmtId="0" fontId="30" fillId="0" borderId="1" xfId="0" applyFont="1" applyFill="1" applyBorder="1" applyAlignment="1">
      <alignment vertical="top" wrapText="1"/>
    </xf>
    <xf numFmtId="4" fontId="30" fillId="0" borderId="1" xfId="0" applyNumberFormat="1" applyFont="1" applyFill="1" applyBorder="1" applyAlignment="1">
      <alignment vertical="top" wrapText="1"/>
    </xf>
    <xf numFmtId="4" fontId="30" fillId="0" borderId="2" xfId="0" applyNumberFormat="1" applyFont="1" applyFill="1" applyBorder="1" applyAlignment="1">
      <alignment vertical="top" wrapText="1"/>
    </xf>
    <xf numFmtId="0" fontId="31" fillId="0" borderId="17" xfId="0" applyFont="1" applyBorder="1" applyAlignment="1">
      <alignment vertical="top" wrapText="1"/>
    </xf>
    <xf numFmtId="4" fontId="31" fillId="0" borderId="17" xfId="0" applyNumberFormat="1" applyFont="1" applyBorder="1" applyAlignment="1">
      <alignment vertical="top" wrapText="1"/>
    </xf>
    <xf numFmtId="4" fontId="36" fillId="0" borderId="17" xfId="0" applyNumberFormat="1" applyFont="1" applyFill="1" applyBorder="1"/>
    <xf numFmtId="4" fontId="36" fillId="0" borderId="17" xfId="0" applyNumberFormat="1" applyFont="1" applyBorder="1"/>
    <xf numFmtId="4" fontId="36" fillId="0" borderId="18" xfId="0" applyNumberFormat="1" applyFont="1" applyBorder="1"/>
    <xf numFmtId="4" fontId="36" fillId="0" borderId="19" xfId="0" applyNumberFormat="1" applyFont="1" applyBorder="1"/>
    <xf numFmtId="4" fontId="31" fillId="0" borderId="4" xfId="0" applyNumberFormat="1" applyFont="1" applyBorder="1" applyAlignment="1">
      <alignment vertical="top" wrapText="1"/>
    </xf>
    <xf numFmtId="49" fontId="32" fillId="0" borderId="3" xfId="0" applyNumberFormat="1" applyFont="1" applyFill="1" applyBorder="1" applyAlignment="1">
      <alignment vertical="top" wrapText="1"/>
    </xf>
    <xf numFmtId="49" fontId="32" fillId="0" borderId="11" xfId="0" applyNumberFormat="1" applyFont="1" applyFill="1" applyBorder="1" applyAlignment="1">
      <alignment vertical="top" wrapText="1"/>
    </xf>
    <xf numFmtId="49" fontId="10" fillId="0" borderId="3" xfId="0" applyNumberFormat="1" applyFont="1" applyFill="1" applyBorder="1" applyAlignment="1">
      <alignment vertical="top" wrapText="1"/>
    </xf>
    <xf numFmtId="0" fontId="22" fillId="0" borderId="20" xfId="0" applyFont="1" applyFill="1" applyBorder="1" applyAlignment="1">
      <alignment vertical="top" wrapText="1"/>
    </xf>
    <xf numFmtId="0" fontId="20" fillId="0" borderId="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vertical="top" wrapText="1"/>
    </xf>
    <xf numFmtId="0" fontId="32" fillId="0" borderId="7" xfId="0" applyFont="1" applyFill="1" applyBorder="1" applyAlignment="1">
      <alignment horizontal="center" vertical="top" wrapText="1"/>
    </xf>
    <xf numFmtId="4" fontId="32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4" fontId="10" fillId="0" borderId="1" xfId="0" applyNumberFormat="1" applyFont="1" applyFill="1" applyBorder="1" applyAlignment="1">
      <alignment horizontal="center" vertical="top" wrapText="1"/>
    </xf>
    <xf numFmtId="4" fontId="10" fillId="0" borderId="8" xfId="0" applyNumberFormat="1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horizontal="center" vertical="top" wrapText="1"/>
    </xf>
    <xf numFmtId="4" fontId="26" fillId="3" borderId="0" xfId="0" applyNumberFormat="1" applyFont="1" applyFill="1"/>
    <xf numFmtId="49" fontId="56" fillId="4" borderId="0" xfId="0" applyNumberFormat="1" applyFont="1" applyFill="1" applyBorder="1" applyAlignment="1">
      <alignment vertical="top" wrapText="1"/>
    </xf>
    <xf numFmtId="0" fontId="1" fillId="4" borderId="0" xfId="0" applyFont="1" applyFill="1" applyBorder="1" applyAlignment="1">
      <alignment vertical="top" wrapText="1"/>
    </xf>
    <xf numFmtId="169" fontId="6" fillId="3" borderId="0" xfId="0" applyNumberFormat="1" applyFont="1" applyFill="1" applyBorder="1" applyAlignment="1">
      <alignment horizontal="center" vertical="center" wrapText="1"/>
    </xf>
    <xf numFmtId="4" fontId="6" fillId="3" borderId="0" xfId="0" applyNumberFormat="1" applyFon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/>
    </xf>
    <xf numFmtId="169" fontId="50" fillId="3" borderId="1" xfId="0" applyNumberFormat="1" applyFont="1" applyFill="1" applyBorder="1" applyAlignment="1">
      <alignment horizontal="center" vertical="center" wrapText="1"/>
    </xf>
    <xf numFmtId="4" fontId="50" fillId="3" borderId="1" xfId="0" applyNumberFormat="1" applyFont="1" applyFill="1" applyBorder="1" applyAlignment="1">
      <alignment horizontal="center" vertical="center" wrapText="1"/>
    </xf>
    <xf numFmtId="169" fontId="62" fillId="3" borderId="1" xfId="0" applyNumberFormat="1" applyFont="1" applyFill="1" applyBorder="1" applyAlignment="1">
      <alignment horizontal="center" vertical="center" wrapText="1"/>
    </xf>
    <xf numFmtId="4" fontId="62" fillId="3" borderId="1" xfId="0" applyNumberFormat="1" applyFont="1" applyFill="1" applyBorder="1" applyAlignment="1">
      <alignment horizontal="center" vertical="center" wrapText="1"/>
    </xf>
    <xf numFmtId="4" fontId="63" fillId="3" borderId="1" xfId="0" applyNumberFormat="1" applyFont="1" applyFill="1" applyBorder="1" applyAlignment="1">
      <alignment horizontal="center" vertical="center" wrapText="1"/>
    </xf>
    <xf numFmtId="4" fontId="63" fillId="3" borderId="1" xfId="0" applyNumberFormat="1" applyFont="1" applyFill="1" applyBorder="1" applyAlignment="1">
      <alignment horizontal="center" vertical="center"/>
    </xf>
    <xf numFmtId="0" fontId="62" fillId="3" borderId="1" xfId="0" applyFont="1" applyFill="1" applyBorder="1" applyAlignment="1">
      <alignment horizontal="center" vertical="center" wrapText="1"/>
    </xf>
    <xf numFmtId="49" fontId="3" fillId="4" borderId="11" xfId="0" applyNumberFormat="1" applyFont="1" applyFill="1" applyBorder="1" applyAlignment="1">
      <alignment vertical="top" wrapText="1"/>
    </xf>
    <xf numFmtId="49" fontId="1" fillId="4" borderId="6" xfId="0" applyNumberFormat="1" applyFont="1" applyFill="1" applyBorder="1" applyAlignment="1">
      <alignment vertical="top" wrapText="1"/>
    </xf>
    <xf numFmtId="49" fontId="1" fillId="4" borderId="3" xfId="0" applyNumberFormat="1" applyFont="1" applyFill="1" applyBorder="1" applyAlignment="1">
      <alignment vertical="top" wrapText="1"/>
    </xf>
    <xf numFmtId="0" fontId="30" fillId="3" borderId="7" xfId="0" applyFont="1" applyFill="1" applyBorder="1" applyAlignment="1">
      <alignment horizontal="center" vertical="top" wrapText="1"/>
    </xf>
    <xf numFmtId="4" fontId="31" fillId="3" borderId="1" xfId="0" applyNumberFormat="1" applyFont="1" applyFill="1" applyBorder="1" applyAlignment="1">
      <alignment horizontal="center" vertical="top" wrapText="1"/>
    </xf>
    <xf numFmtId="4" fontId="30" fillId="3" borderId="1" xfId="0" applyNumberFormat="1" applyFont="1" applyFill="1" applyBorder="1" applyAlignment="1">
      <alignment horizontal="center" vertical="top" wrapText="1"/>
    </xf>
    <xf numFmtId="0" fontId="31" fillId="3" borderId="1" xfId="0" applyFont="1" applyFill="1" applyBorder="1" applyAlignment="1">
      <alignment horizontal="center" vertical="top" wrapText="1"/>
    </xf>
    <xf numFmtId="4" fontId="31" fillId="3" borderId="17" xfId="0" applyNumberFormat="1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center"/>
    </xf>
    <xf numFmtId="4" fontId="33" fillId="4" borderId="7" xfId="2" applyNumberFormat="1" applyFont="1" applyFill="1" applyBorder="1" applyAlignment="1">
      <alignment horizontal="center" vertical="top" wrapText="1"/>
    </xf>
    <xf numFmtId="4" fontId="33" fillId="4" borderId="12" xfId="2" applyNumberFormat="1" applyFont="1" applyFill="1" applyBorder="1" applyAlignment="1">
      <alignment horizontal="center" vertical="top" wrapText="1"/>
    </xf>
    <xf numFmtId="0" fontId="36" fillId="9" borderId="1" xfId="0" applyFont="1" applyFill="1" applyBorder="1"/>
    <xf numFmtId="0" fontId="36" fillId="3" borderId="1" xfId="0" applyFont="1" applyFill="1" applyBorder="1"/>
    <xf numFmtId="4" fontId="36" fillId="9" borderId="1" xfId="0" applyNumberFormat="1" applyFont="1" applyFill="1" applyBorder="1"/>
    <xf numFmtId="4" fontId="36" fillId="3" borderId="1" xfId="0" applyNumberFormat="1" applyFont="1" applyFill="1" applyBorder="1"/>
    <xf numFmtId="4" fontId="36" fillId="3" borderId="2" xfId="0" applyNumberFormat="1" applyFont="1" applyFill="1" applyBorder="1"/>
    <xf numFmtId="164" fontId="29" fillId="3" borderId="7" xfId="2" applyFont="1" applyFill="1" applyBorder="1" applyAlignment="1">
      <alignment vertical="top" wrapText="1"/>
    </xf>
    <xf numFmtId="164" fontId="6" fillId="3" borderId="1" xfId="2" applyFont="1" applyFill="1" applyBorder="1" applyAlignment="1">
      <alignment vertical="top" wrapText="1"/>
    </xf>
    <xf numFmtId="164" fontId="29" fillId="3" borderId="1" xfId="2" applyFont="1" applyFill="1" applyBorder="1" applyAlignment="1">
      <alignment vertical="top" wrapText="1"/>
    </xf>
    <xf numFmtId="49" fontId="20" fillId="3" borderId="0" xfId="0" applyNumberFormat="1" applyFont="1" applyFill="1" applyAlignment="1">
      <alignment horizontal="center"/>
    </xf>
    <xf numFmtId="49" fontId="20" fillId="3" borderId="13" xfId="0" applyNumberFormat="1" applyFont="1" applyFill="1" applyBorder="1" applyAlignment="1">
      <alignment horizontal="center" vertical="top" wrapText="1"/>
    </xf>
    <xf numFmtId="49" fontId="22" fillId="3" borderId="11" xfId="0" applyNumberFormat="1" applyFont="1" applyFill="1" applyBorder="1" applyAlignment="1">
      <alignment horizontal="center" vertical="top" wrapText="1"/>
    </xf>
    <xf numFmtId="49" fontId="20" fillId="3" borderId="3" xfId="0" applyNumberFormat="1" applyFont="1" applyFill="1" applyBorder="1" applyAlignment="1">
      <alignment horizontal="center" vertical="top" wrapText="1"/>
    </xf>
    <xf numFmtId="49" fontId="20" fillId="3" borderId="10" xfId="0" applyNumberFormat="1" applyFont="1" applyFill="1" applyBorder="1" applyAlignment="1">
      <alignment horizontal="center" vertical="top" wrapText="1"/>
    </xf>
    <xf numFmtId="49" fontId="20" fillId="6" borderId="13" xfId="0" applyNumberFormat="1" applyFont="1" applyFill="1" applyBorder="1" applyAlignment="1">
      <alignment horizontal="center" vertical="top" wrapText="1"/>
    </xf>
    <xf numFmtId="49" fontId="22" fillId="6" borderId="11" xfId="0" applyNumberFormat="1" applyFont="1" applyFill="1" applyBorder="1" applyAlignment="1">
      <alignment horizontal="center" vertical="top" wrapText="1"/>
    </xf>
    <xf numFmtId="49" fontId="20" fillId="6" borderId="3" xfId="0" applyNumberFormat="1" applyFont="1" applyFill="1" applyBorder="1" applyAlignment="1">
      <alignment horizontal="center" vertical="top" wrapText="1"/>
    </xf>
    <xf numFmtId="49" fontId="20" fillId="6" borderId="10" xfId="0" applyNumberFormat="1" applyFont="1" applyFill="1" applyBorder="1" applyAlignment="1">
      <alignment horizontal="center" vertical="top" wrapText="1"/>
    </xf>
    <xf numFmtId="49" fontId="29" fillId="4" borderId="10" xfId="0" applyNumberFormat="1" applyFont="1" applyFill="1" applyBorder="1" applyAlignment="1">
      <alignment horizontal="center" vertical="top" wrapText="1"/>
    </xf>
    <xf numFmtId="0" fontId="64" fillId="3" borderId="17" xfId="0" applyFont="1" applyFill="1" applyBorder="1" applyAlignment="1">
      <alignment horizontal="center" vertical="center" wrapText="1"/>
    </xf>
    <xf numFmtId="0" fontId="64" fillId="3" borderId="19" xfId="0" applyFont="1" applyFill="1" applyBorder="1" applyAlignment="1">
      <alignment horizontal="center" vertical="center" wrapText="1"/>
    </xf>
    <xf numFmtId="0" fontId="53" fillId="7" borderId="0" xfId="0" applyFont="1" applyFill="1"/>
    <xf numFmtId="0" fontId="24" fillId="0" borderId="1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vertical="top" wrapText="1"/>
    </xf>
    <xf numFmtId="0" fontId="3" fillId="12" borderId="12" xfId="0" applyFont="1" applyFill="1" applyBorder="1" applyAlignment="1">
      <alignment vertical="top" wrapText="1"/>
    </xf>
    <xf numFmtId="0" fontId="3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0" fillId="0" borderId="2" xfId="0" applyBorder="1"/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0" fillId="0" borderId="4" xfId="0" applyBorder="1"/>
    <xf numFmtId="0" fontId="25" fillId="0" borderId="1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" fontId="25" fillId="0" borderId="1" xfId="0" applyNumberFormat="1" applyFont="1" applyBorder="1" applyAlignment="1">
      <alignment horizontal="center"/>
    </xf>
    <xf numFmtId="0" fontId="28" fillId="12" borderId="1" xfId="0" applyFont="1" applyFill="1" applyBorder="1" applyAlignment="1">
      <alignment horizontal="center" vertical="top" wrapText="1"/>
    </xf>
    <xf numFmtId="4" fontId="28" fillId="12" borderId="1" xfId="0" applyNumberFormat="1" applyFont="1" applyFill="1" applyBorder="1" applyAlignment="1">
      <alignment horizontal="center" vertical="top" wrapText="1"/>
    </xf>
    <xf numFmtId="0" fontId="28" fillId="12" borderId="2" xfId="0" applyFont="1" applyFill="1" applyBorder="1" applyAlignment="1">
      <alignment horizontal="center" vertical="top" wrapText="1"/>
    </xf>
    <xf numFmtId="4" fontId="24" fillId="0" borderId="5" xfId="0" applyNumberFormat="1" applyFont="1" applyBorder="1" applyAlignment="1">
      <alignment horizontal="center" vertical="top" wrapText="1"/>
    </xf>
    <xf numFmtId="4" fontId="25" fillId="0" borderId="5" xfId="0" applyNumberFormat="1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48" fillId="7" borderId="0" xfId="0" applyFont="1" applyFill="1"/>
    <xf numFmtId="0" fontId="55" fillId="3" borderId="0" xfId="0" applyFont="1" applyFill="1"/>
    <xf numFmtId="0" fontId="65" fillId="3" borderId="0" xfId="0" applyFont="1" applyFill="1"/>
    <xf numFmtId="0" fontId="31" fillId="3" borderId="1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center" vertical="top" wrapText="1"/>
    </xf>
    <xf numFmtId="0" fontId="33" fillId="4" borderId="7" xfId="0" applyFont="1" applyFill="1" applyBorder="1" applyAlignment="1">
      <alignment horizontal="center" vertical="top" wrapText="1"/>
    </xf>
    <xf numFmtId="164" fontId="33" fillId="4" borderId="7" xfId="2" applyFont="1" applyFill="1" applyBorder="1" applyAlignment="1">
      <alignment horizontal="center" vertical="top" wrapText="1"/>
    </xf>
    <xf numFmtId="0" fontId="50" fillId="4" borderId="1" xfId="0" applyFont="1" applyFill="1" applyBorder="1" applyAlignment="1">
      <alignment horizontal="center" vertical="top" wrapText="1"/>
    </xf>
    <xf numFmtId="164" fontId="50" fillId="4" borderId="1" xfId="2" applyFont="1" applyFill="1" applyBorder="1" applyAlignment="1">
      <alignment horizontal="center" vertical="center" wrapText="1"/>
    </xf>
    <xf numFmtId="164" fontId="50" fillId="4" borderId="1" xfId="2" applyFont="1" applyFill="1" applyBorder="1" applyAlignment="1">
      <alignment horizontal="center" vertical="top" wrapText="1"/>
    </xf>
    <xf numFmtId="0" fontId="50" fillId="4" borderId="5" xfId="0" applyFont="1" applyFill="1" applyBorder="1" applyAlignment="1">
      <alignment horizontal="center" vertical="top" wrapText="1"/>
    </xf>
    <xf numFmtId="0" fontId="50" fillId="4" borderId="5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24" fillId="7" borderId="1" xfId="0" applyNumberFormat="1" applyFont="1" applyFill="1" applyBorder="1" applyAlignment="1">
      <alignment horizontal="center" vertical="top" wrapText="1"/>
    </xf>
    <xf numFmtId="0" fontId="63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vertical="center" wrapText="1"/>
    </xf>
    <xf numFmtId="4" fontId="63" fillId="0" borderId="1" xfId="0" applyNumberFormat="1" applyFont="1" applyBorder="1" applyAlignment="1">
      <alignment horizontal="center" vertical="center" wrapText="1"/>
    </xf>
    <xf numFmtId="0" fontId="66" fillId="0" borderId="1" xfId="0" applyFont="1" applyBorder="1" applyAlignment="1">
      <alignment vertical="top" wrapText="1"/>
    </xf>
    <xf numFmtId="0" fontId="66" fillId="0" borderId="1" xfId="0" applyFont="1" applyBorder="1" applyAlignment="1">
      <alignment horizontal="center" vertical="center" wrapText="1"/>
    </xf>
    <xf numFmtId="0" fontId="53" fillId="11" borderId="0" xfId="0" applyFont="1" applyFill="1"/>
    <xf numFmtId="169" fontId="50" fillId="0" borderId="1" xfId="0" applyNumberFormat="1" applyFont="1" applyFill="1" applyBorder="1" applyAlignment="1">
      <alignment horizontal="center" vertical="center" wrapText="1"/>
    </xf>
    <xf numFmtId="4" fontId="50" fillId="0" borderId="1" xfId="0" applyNumberFormat="1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top" wrapText="1"/>
    </xf>
    <xf numFmtId="167" fontId="61" fillId="3" borderId="1" xfId="0" applyNumberFormat="1" applyFont="1" applyFill="1" applyBorder="1" applyAlignment="1">
      <alignment horizontal="center" vertical="top" wrapText="1"/>
    </xf>
    <xf numFmtId="0" fontId="61" fillId="0" borderId="5" xfId="0" applyFont="1" applyFill="1" applyBorder="1" applyAlignment="1">
      <alignment horizontal="center" vertical="center" wrapText="1"/>
    </xf>
    <xf numFmtId="0" fontId="60" fillId="0" borderId="7" xfId="0" applyFont="1" applyFill="1" applyBorder="1" applyAlignment="1">
      <alignment horizontal="center" vertical="top" wrapText="1"/>
    </xf>
    <xf numFmtId="4" fontId="60" fillId="0" borderId="7" xfId="0" applyNumberFormat="1" applyFont="1" applyFill="1" applyBorder="1" applyAlignment="1">
      <alignment horizontal="center" vertical="top" wrapText="1"/>
    </xf>
    <xf numFmtId="4" fontId="60" fillId="3" borderId="7" xfId="0" applyNumberFormat="1" applyFont="1" applyFill="1" applyBorder="1" applyAlignment="1">
      <alignment horizontal="center" vertical="top" wrapText="1"/>
    </xf>
    <xf numFmtId="0" fontId="60" fillId="0" borderId="12" xfId="0" applyFont="1" applyFill="1" applyBorder="1" applyAlignment="1">
      <alignment horizontal="center" vertical="top" wrapText="1"/>
    </xf>
    <xf numFmtId="4" fontId="61" fillId="3" borderId="1" xfId="0" applyNumberFormat="1" applyFont="1" applyFill="1" applyBorder="1" applyAlignment="1">
      <alignment horizontal="center" vertical="top" wrapText="1"/>
    </xf>
    <xf numFmtId="167" fontId="61" fillId="0" borderId="1" xfId="0" applyNumberFormat="1" applyFont="1" applyFill="1" applyBorder="1" applyAlignment="1">
      <alignment horizontal="center" vertical="top" wrapText="1"/>
    </xf>
    <xf numFmtId="0" fontId="61" fillId="0" borderId="2" xfId="0" applyFont="1" applyFill="1" applyBorder="1" applyAlignment="1">
      <alignment horizontal="center" vertical="top" wrapText="1"/>
    </xf>
    <xf numFmtId="0" fontId="61" fillId="3" borderId="1" xfId="0" applyFont="1" applyFill="1" applyBorder="1" applyAlignment="1">
      <alignment horizontal="center" vertical="top" wrapText="1"/>
    </xf>
    <xf numFmtId="0" fontId="61" fillId="0" borderId="8" xfId="0" applyFont="1" applyFill="1" applyBorder="1" applyAlignment="1">
      <alignment horizontal="center" vertical="top" wrapText="1"/>
    </xf>
    <xf numFmtId="0" fontId="26" fillId="0" borderId="2" xfId="0" applyFont="1" applyFill="1" applyBorder="1" applyAlignment="1">
      <alignment horizontal="center"/>
    </xf>
    <xf numFmtId="0" fontId="61" fillId="0" borderId="5" xfId="0" applyFont="1" applyFill="1" applyBorder="1" applyAlignment="1">
      <alignment horizontal="center" vertical="top" wrapText="1"/>
    </xf>
    <xf numFmtId="4" fontId="61" fillId="3" borderId="5" xfId="0" applyNumberFormat="1" applyFont="1" applyFill="1" applyBorder="1" applyAlignment="1">
      <alignment horizontal="center" vertical="top" wrapText="1"/>
    </xf>
    <xf numFmtId="0" fontId="61" fillId="0" borderId="9" xfId="0" applyFont="1" applyFill="1" applyBorder="1" applyAlignment="1">
      <alignment horizontal="center" vertical="top" wrapText="1"/>
    </xf>
    <xf numFmtId="0" fontId="26" fillId="0" borderId="4" xfId="0" applyFont="1" applyFill="1" applyBorder="1" applyAlignment="1">
      <alignment horizontal="center"/>
    </xf>
    <xf numFmtId="4" fontId="67" fillId="2" borderId="1" xfId="0" applyNumberFormat="1" applyFont="1" applyFill="1" applyBorder="1" applyAlignment="1">
      <alignment horizontal="center" vertical="center" wrapText="1"/>
    </xf>
    <xf numFmtId="4" fontId="67" fillId="2" borderId="1" xfId="0" applyNumberFormat="1" applyFont="1" applyFill="1" applyBorder="1" applyAlignment="1">
      <alignment vertical="center" wrapText="1"/>
    </xf>
    <xf numFmtId="4" fontId="33" fillId="4" borderId="1" xfId="2" applyNumberFormat="1" applyFont="1" applyFill="1" applyBorder="1" applyAlignment="1">
      <alignment horizontal="center" vertical="center" wrapText="1"/>
    </xf>
    <xf numFmtId="4" fontId="33" fillId="8" borderId="1" xfId="2" applyNumberFormat="1" applyFont="1" applyFill="1" applyBorder="1" applyAlignment="1">
      <alignment horizontal="center" vertical="center" wrapText="1"/>
    </xf>
    <xf numFmtId="0" fontId="36" fillId="9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4" fontId="36" fillId="9" borderId="1" xfId="0" applyNumberFormat="1" applyFont="1" applyFill="1" applyBorder="1" applyAlignment="1">
      <alignment horizontal="center" vertical="center" wrapText="1"/>
    </xf>
    <xf numFmtId="4" fontId="36" fillId="3" borderId="1" xfId="0" applyNumberFormat="1" applyFont="1" applyFill="1" applyBorder="1" applyAlignment="1">
      <alignment horizontal="center" vertical="center" wrapText="1"/>
    </xf>
    <xf numFmtId="4" fontId="36" fillId="3" borderId="2" xfId="0" applyNumberFormat="1" applyFont="1" applyFill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0" fontId="31" fillId="9" borderId="1" xfId="0" applyFont="1" applyFill="1" applyBorder="1" applyAlignment="1">
      <alignment horizontal="center" vertical="center" wrapText="1"/>
    </xf>
    <xf numFmtId="4" fontId="31" fillId="3" borderId="1" xfId="0" applyNumberFormat="1" applyFont="1" applyFill="1" applyBorder="1" applyAlignment="1">
      <alignment horizontal="center" vertical="center" wrapText="1"/>
    </xf>
    <xf numFmtId="4" fontId="28" fillId="3" borderId="14" xfId="0" applyNumberFormat="1" applyFont="1" applyFill="1" applyBorder="1" applyAlignment="1">
      <alignment horizontal="center" vertical="center" wrapText="1"/>
    </xf>
    <xf numFmtId="4" fontId="28" fillId="3" borderId="15" xfId="0" applyNumberFormat="1" applyFont="1" applyFill="1" applyBorder="1" applyAlignment="1">
      <alignment horizontal="center" vertical="center" wrapText="1"/>
    </xf>
    <xf numFmtId="169" fontId="24" fillId="3" borderId="7" xfId="0" applyNumberFormat="1" applyFont="1" applyFill="1" applyBorder="1" applyAlignment="1">
      <alignment horizontal="center" vertical="center" wrapText="1"/>
    </xf>
    <xf numFmtId="4" fontId="24" fillId="3" borderId="7" xfId="0" applyNumberFormat="1" applyFont="1" applyFill="1" applyBorder="1" applyAlignment="1">
      <alignment horizontal="center" vertical="center" wrapText="1"/>
    </xf>
    <xf numFmtId="4" fontId="24" fillId="3" borderId="14" xfId="0" applyNumberFormat="1" applyFont="1" applyFill="1" applyBorder="1" applyAlignment="1">
      <alignment horizontal="center" vertical="center" wrapText="1"/>
    </xf>
    <xf numFmtId="4" fontId="24" fillId="3" borderId="12" xfId="0" applyNumberFormat="1" applyFont="1" applyFill="1" applyBorder="1" applyAlignment="1">
      <alignment horizontal="center" vertical="center" wrapText="1"/>
    </xf>
    <xf numFmtId="169" fontId="24" fillId="3" borderId="1" xfId="0" applyNumberFormat="1" applyFont="1" applyFill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center" vertical="center"/>
    </xf>
    <xf numFmtId="4" fontId="24" fillId="3" borderId="2" xfId="0" applyNumberFormat="1" applyFont="1" applyFill="1" applyBorder="1" applyAlignment="1">
      <alignment horizontal="center" vertical="center" wrapText="1"/>
    </xf>
    <xf numFmtId="169" fontId="24" fillId="3" borderId="17" xfId="0" applyNumberFormat="1" applyFont="1" applyFill="1" applyBorder="1" applyAlignment="1">
      <alignment horizontal="center" vertical="center" wrapText="1"/>
    </xf>
    <xf numFmtId="4" fontId="24" fillId="3" borderId="17" xfId="0" applyNumberFormat="1" applyFont="1" applyFill="1" applyBorder="1" applyAlignment="1">
      <alignment horizontal="center" vertical="center" wrapText="1"/>
    </xf>
    <xf numFmtId="4" fontId="24" fillId="3" borderId="20" xfId="0" applyNumberFormat="1" applyFont="1" applyFill="1" applyBorder="1" applyAlignment="1">
      <alignment horizontal="center" vertical="center" wrapText="1"/>
    </xf>
    <xf numFmtId="4" fontId="25" fillId="3" borderId="17" xfId="0" applyNumberFormat="1" applyFont="1" applyFill="1" applyBorder="1" applyAlignment="1">
      <alignment horizontal="center" vertical="center"/>
    </xf>
    <xf numFmtId="4" fontId="25" fillId="3" borderId="19" xfId="0" applyNumberFormat="1" applyFont="1" applyFill="1" applyBorder="1" applyAlignment="1">
      <alignment horizontal="center" vertical="center"/>
    </xf>
    <xf numFmtId="4" fontId="28" fillId="3" borderId="38" xfId="0" applyNumberFormat="1" applyFont="1" applyFill="1" applyBorder="1" applyAlignment="1">
      <alignment horizontal="center" vertical="center" wrapText="1"/>
    </xf>
    <xf numFmtId="4" fontId="28" fillId="3" borderId="39" xfId="0" applyNumberFormat="1" applyFont="1" applyFill="1" applyBorder="1" applyAlignment="1">
      <alignment horizontal="center" vertical="center" wrapText="1"/>
    </xf>
    <xf numFmtId="169" fontId="24" fillId="3" borderId="27" xfId="0" applyNumberFormat="1" applyFont="1" applyFill="1" applyBorder="1" applyAlignment="1">
      <alignment horizontal="center" vertical="center" wrapText="1"/>
    </xf>
    <xf numFmtId="4" fontId="24" fillId="3" borderId="27" xfId="0" applyNumberFormat="1" applyFont="1" applyFill="1" applyBorder="1" applyAlignment="1">
      <alignment horizontal="center" vertical="center" wrapText="1"/>
    </xf>
    <xf numFmtId="4" fontId="24" fillId="3" borderId="38" xfId="0" applyNumberFormat="1" applyFont="1" applyFill="1" applyBorder="1" applyAlignment="1">
      <alignment horizontal="center" vertical="center" wrapText="1"/>
    </xf>
    <xf numFmtId="4" fontId="25" fillId="3" borderId="27" xfId="0" applyNumberFormat="1" applyFont="1" applyFill="1" applyBorder="1" applyAlignment="1">
      <alignment horizontal="center" vertical="center"/>
    </xf>
    <xf numFmtId="4" fontId="25" fillId="3" borderId="29" xfId="0" applyNumberFormat="1" applyFont="1" applyFill="1" applyBorder="1" applyAlignment="1">
      <alignment horizontal="center" vertical="center"/>
    </xf>
    <xf numFmtId="4" fontId="25" fillId="3" borderId="2" xfId="0" applyNumberFormat="1" applyFont="1" applyFill="1" applyBorder="1" applyAlignment="1">
      <alignment horizontal="center" vertical="center"/>
    </xf>
    <xf numFmtId="169" fontId="24" fillId="3" borderId="5" xfId="0" applyNumberFormat="1" applyFont="1" applyFill="1" applyBorder="1" applyAlignment="1">
      <alignment horizontal="center" vertical="center" wrapText="1"/>
    </xf>
    <xf numFmtId="4" fontId="24" fillId="3" borderId="5" xfId="0" applyNumberFormat="1" applyFont="1" applyFill="1" applyBorder="1" applyAlignment="1">
      <alignment horizontal="center" vertical="center" wrapText="1"/>
    </xf>
    <xf numFmtId="4" fontId="25" fillId="3" borderId="5" xfId="0" applyNumberFormat="1" applyFont="1" applyFill="1" applyBorder="1" applyAlignment="1">
      <alignment horizontal="center" vertical="center"/>
    </xf>
    <xf numFmtId="4" fontId="25" fillId="3" borderId="4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top" wrapText="1"/>
    </xf>
    <xf numFmtId="0" fontId="28" fillId="0" borderId="7" xfId="0" applyFont="1" applyFill="1" applyBorder="1" applyAlignment="1">
      <alignment horizontal="center" vertical="top" wrapText="1"/>
    </xf>
    <xf numFmtId="4" fontId="28" fillId="0" borderId="7" xfId="0" applyNumberFormat="1" applyFont="1" applyFill="1" applyBorder="1" applyAlignment="1">
      <alignment horizontal="center" vertical="top" wrapText="1"/>
    </xf>
    <xf numFmtId="4" fontId="24" fillId="0" borderId="1" xfId="0" applyNumberFormat="1" applyFont="1" applyFill="1" applyBorder="1" applyAlignment="1">
      <alignment horizontal="center" vertical="top" wrapText="1"/>
    </xf>
    <xf numFmtId="0" fontId="24" fillId="0" borderId="5" xfId="0" applyFont="1" applyFill="1" applyBorder="1" applyAlignment="1">
      <alignment horizontal="center" vertical="top" wrapText="1"/>
    </xf>
    <xf numFmtId="4" fontId="24" fillId="0" borderId="5" xfId="0" applyNumberFormat="1" applyFont="1" applyFill="1" applyBorder="1" applyAlignment="1">
      <alignment horizontal="center" vertical="top" wrapText="1"/>
    </xf>
    <xf numFmtId="4" fontId="60" fillId="15" borderId="7" xfId="0" applyNumberFormat="1" applyFont="1" applyFill="1" applyBorder="1" applyAlignment="1">
      <alignment horizontal="center" vertical="top" wrapText="1"/>
    </xf>
    <xf numFmtId="4" fontId="31" fillId="15" borderId="1" xfId="0" applyNumberFormat="1" applyFont="1" applyFill="1" applyBorder="1" applyAlignment="1">
      <alignment horizontal="center" vertical="top" wrapText="1"/>
    </xf>
    <xf numFmtId="4" fontId="30" fillId="15" borderId="7" xfId="0" applyNumberFormat="1" applyFont="1" applyFill="1" applyBorder="1" applyAlignment="1">
      <alignment horizontal="center" vertical="top" wrapText="1"/>
    </xf>
    <xf numFmtId="0" fontId="31" fillId="3" borderId="5" xfId="0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top" wrapText="1"/>
    </xf>
    <xf numFmtId="4" fontId="10" fillId="0" borderId="2" xfId="0" applyNumberFormat="1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 vertical="top"/>
    </xf>
    <xf numFmtId="0" fontId="30" fillId="0" borderId="7" xfId="0" applyFont="1" applyFill="1" applyBorder="1" applyAlignment="1">
      <alignment vertical="top" wrapText="1"/>
    </xf>
    <xf numFmtId="4" fontId="30" fillId="0" borderId="5" xfId="0" applyNumberFormat="1" applyFont="1" applyFill="1" applyBorder="1" applyAlignment="1">
      <alignment vertical="top" wrapText="1"/>
    </xf>
    <xf numFmtId="4" fontId="30" fillId="0" borderId="4" xfId="0" applyNumberFormat="1" applyFont="1" applyFill="1" applyBorder="1" applyAlignment="1">
      <alignment vertical="top" wrapText="1"/>
    </xf>
    <xf numFmtId="167" fontId="61" fillId="13" borderId="1" xfId="0" applyNumberFormat="1" applyFont="1" applyFill="1" applyBorder="1" applyAlignment="1">
      <alignment horizontal="center" vertical="top" wrapText="1"/>
    </xf>
    <xf numFmtId="4" fontId="61" fillId="13" borderId="1" xfId="0" applyNumberFormat="1" applyFont="1" applyFill="1" applyBorder="1" applyAlignment="1">
      <alignment horizontal="center" vertical="top" wrapText="1"/>
    </xf>
    <xf numFmtId="4" fontId="61" fillId="13" borderId="5" xfId="0" applyNumberFormat="1" applyFont="1" applyFill="1" applyBorder="1" applyAlignment="1">
      <alignment horizontal="center" vertical="top" wrapText="1"/>
    </xf>
    <xf numFmtId="4" fontId="46" fillId="3" borderId="38" xfId="0" applyNumberFormat="1" applyFont="1" applyFill="1" applyBorder="1" applyAlignment="1">
      <alignment horizontal="center" vertical="center" wrapText="1"/>
    </xf>
    <xf numFmtId="4" fontId="46" fillId="3" borderId="39" xfId="0" applyNumberFormat="1" applyFont="1" applyFill="1" applyBorder="1" applyAlignment="1">
      <alignment horizontal="center" vertical="center" wrapText="1"/>
    </xf>
    <xf numFmtId="4" fontId="46" fillId="3" borderId="23" xfId="0" applyNumberFormat="1" applyFont="1" applyFill="1" applyBorder="1" applyAlignment="1">
      <alignment horizontal="center" vertical="center" wrapText="1"/>
    </xf>
    <xf numFmtId="4" fontId="46" fillId="3" borderId="21" xfId="0" applyNumberFormat="1" applyFont="1" applyFill="1" applyBorder="1" applyAlignment="1">
      <alignment horizontal="center" vertical="center" wrapText="1"/>
    </xf>
    <xf numFmtId="4" fontId="46" fillId="3" borderId="41" xfId="0" applyNumberFormat="1" applyFont="1" applyFill="1" applyBorder="1" applyAlignment="1">
      <alignment horizontal="center" vertical="center" wrapText="1"/>
    </xf>
    <xf numFmtId="4" fontId="68" fillId="3" borderId="30" xfId="0" applyNumberFormat="1" applyFont="1" applyFill="1" applyBorder="1" applyAlignment="1">
      <alignment horizontal="center" vertical="center" wrapText="1"/>
    </xf>
    <xf numFmtId="4" fontId="68" fillId="3" borderId="27" xfId="0" applyNumberFormat="1" applyFont="1" applyFill="1" applyBorder="1" applyAlignment="1">
      <alignment horizontal="center" vertical="center" wrapText="1"/>
    </xf>
    <xf numFmtId="4" fontId="46" fillId="3" borderId="27" xfId="0" applyNumberFormat="1" applyFont="1" applyFill="1" applyBorder="1" applyAlignment="1">
      <alignment horizontal="center" vertical="center" wrapText="1"/>
    </xf>
    <xf numFmtId="4" fontId="68" fillId="3" borderId="29" xfId="0" applyNumberFormat="1" applyFont="1" applyFill="1" applyBorder="1" applyAlignment="1">
      <alignment horizontal="center" vertical="center"/>
    </xf>
    <xf numFmtId="4" fontId="68" fillId="3" borderId="3" xfId="0" applyNumberFormat="1" applyFont="1" applyFill="1" applyBorder="1" applyAlignment="1">
      <alignment horizontal="center" vertical="center" wrapText="1"/>
    </xf>
    <xf numFmtId="4" fontId="68" fillId="3" borderId="1" xfId="0" applyNumberFormat="1" applyFont="1" applyFill="1" applyBorder="1" applyAlignment="1">
      <alignment horizontal="center" vertical="center" wrapText="1"/>
    </xf>
    <xf numFmtId="4" fontId="68" fillId="3" borderId="2" xfId="0" applyNumberFormat="1" applyFont="1" applyFill="1" applyBorder="1" applyAlignment="1">
      <alignment horizontal="center" vertical="center" wrapText="1"/>
    </xf>
    <xf numFmtId="4" fontId="68" fillId="3" borderId="10" xfId="0" applyNumberFormat="1" applyFont="1" applyFill="1" applyBorder="1" applyAlignment="1">
      <alignment horizontal="center" vertical="center" wrapText="1"/>
    </xf>
    <xf numFmtId="4" fontId="68" fillId="3" borderId="5" xfId="0" applyNumberFormat="1" applyFont="1" applyFill="1" applyBorder="1" applyAlignment="1">
      <alignment horizontal="center" vertical="center" wrapText="1"/>
    </xf>
    <xf numFmtId="166" fontId="68" fillId="3" borderId="5" xfId="3" applyNumberFormat="1" applyFont="1" applyFill="1" applyBorder="1" applyAlignment="1" applyProtection="1">
      <alignment horizontal="center" vertical="center"/>
      <protection hidden="1"/>
    </xf>
    <xf numFmtId="4" fontId="68" fillId="3" borderId="4" xfId="0" applyNumberFormat="1" applyFont="1" applyFill="1" applyBorder="1" applyAlignment="1">
      <alignment horizontal="center" vertical="center"/>
    </xf>
    <xf numFmtId="4" fontId="46" fillId="3" borderId="13" xfId="0" applyNumberFormat="1" applyFont="1" applyFill="1" applyBorder="1" applyAlignment="1">
      <alignment horizontal="center" vertical="center" wrapText="1"/>
    </xf>
    <xf numFmtId="4" fontId="46" fillId="3" borderId="14" xfId="0" applyNumberFormat="1" applyFont="1" applyFill="1" applyBorder="1" applyAlignment="1">
      <alignment horizontal="center" vertical="center" wrapText="1"/>
    </xf>
    <xf numFmtId="4" fontId="46" fillId="3" borderId="15" xfId="0" applyNumberFormat="1" applyFont="1" applyFill="1" applyBorder="1" applyAlignment="1">
      <alignment horizontal="center" vertical="center" wrapText="1"/>
    </xf>
    <xf numFmtId="166" fontId="68" fillId="3" borderId="27" xfId="0" applyNumberFormat="1" applyFont="1" applyFill="1" applyBorder="1" applyAlignment="1">
      <alignment horizontal="center" vertical="center"/>
    </xf>
    <xf numFmtId="4" fontId="46" fillId="3" borderId="1" xfId="0" applyNumberFormat="1" applyFont="1" applyFill="1" applyBorder="1" applyAlignment="1">
      <alignment horizontal="center" vertical="center" wrapText="1"/>
    </xf>
    <xf numFmtId="4" fontId="68" fillId="3" borderId="2" xfId="0" applyNumberFormat="1" applyFont="1" applyFill="1" applyBorder="1" applyAlignment="1">
      <alignment horizontal="center" vertical="center"/>
    </xf>
    <xf numFmtId="4" fontId="46" fillId="3" borderId="5" xfId="0" applyNumberFormat="1" applyFont="1" applyFill="1" applyBorder="1" applyAlignment="1">
      <alignment horizontal="center" vertical="center" wrapText="1"/>
    </xf>
    <xf numFmtId="4" fontId="68" fillId="3" borderId="13" xfId="0" applyNumberFormat="1" applyFont="1" applyFill="1" applyBorder="1" applyAlignment="1">
      <alignment horizontal="center" vertical="center" wrapText="1"/>
    </xf>
    <xf numFmtId="4" fontId="68" fillId="3" borderId="14" xfId="0" applyNumberFormat="1" applyFont="1" applyFill="1" applyBorder="1" applyAlignment="1">
      <alignment horizontal="center" vertical="center" wrapText="1"/>
    </xf>
    <xf numFmtId="166" fontId="68" fillId="3" borderId="14" xfId="3" applyNumberFormat="1" applyFont="1" applyFill="1" applyBorder="1" applyAlignment="1" applyProtection="1">
      <alignment horizontal="center" vertical="center"/>
      <protection hidden="1"/>
    </xf>
    <xf numFmtId="4" fontId="68" fillId="3" borderId="15" xfId="0" applyNumberFormat="1" applyFont="1" applyFill="1" applyBorder="1" applyAlignment="1">
      <alignment horizontal="center" vertical="center"/>
    </xf>
    <xf numFmtId="169" fontId="28" fillId="3" borderId="14" xfId="0" applyNumberFormat="1" applyFont="1" applyFill="1" applyBorder="1" applyAlignment="1">
      <alignment horizontal="center" vertical="center" wrapText="1"/>
    </xf>
    <xf numFmtId="169" fontId="28" fillId="3" borderId="38" xfId="0" applyNumberFormat="1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170" fontId="50" fillId="0" borderId="1" xfId="0" applyNumberFormat="1" applyFont="1" applyFill="1" applyBorder="1" applyAlignment="1">
      <alignment horizontal="center" vertical="center" wrapText="1"/>
    </xf>
    <xf numFmtId="4" fontId="63" fillId="0" borderId="1" xfId="0" applyNumberFormat="1" applyFont="1" applyFill="1" applyBorder="1" applyAlignment="1">
      <alignment horizontal="center" vertical="center" wrapText="1"/>
    </xf>
    <xf numFmtId="4" fontId="63" fillId="0" borderId="1" xfId="0" applyNumberFormat="1" applyFont="1" applyFill="1" applyBorder="1" applyAlignment="1">
      <alignment horizontal="center" vertical="center"/>
    </xf>
    <xf numFmtId="0" fontId="61" fillId="0" borderId="1" xfId="0" applyFont="1" applyBorder="1" applyAlignment="1">
      <alignment horizontal="center" vertical="top" wrapText="1"/>
    </xf>
    <xf numFmtId="2" fontId="61" fillId="0" borderId="1" xfId="0" applyNumberFormat="1" applyFont="1" applyBorder="1" applyAlignment="1">
      <alignment horizontal="center" vertical="top" wrapText="1"/>
    </xf>
    <xf numFmtId="0" fontId="60" fillId="2" borderId="27" xfId="0" applyFont="1" applyFill="1" applyBorder="1" applyAlignment="1">
      <alignment horizontal="center" vertical="top" wrapText="1"/>
    </xf>
    <xf numFmtId="0" fontId="60" fillId="2" borderId="29" xfId="0" applyFont="1" applyFill="1" applyBorder="1" applyAlignment="1">
      <alignment horizontal="center" vertical="top" wrapText="1"/>
    </xf>
    <xf numFmtId="0" fontId="61" fillId="0" borderId="2" xfId="0" applyFont="1" applyBorder="1" applyAlignment="1">
      <alignment horizontal="center" vertical="top" wrapText="1"/>
    </xf>
    <xf numFmtId="0" fontId="61" fillId="0" borderId="8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center"/>
    </xf>
    <xf numFmtId="0" fontId="61" fillId="0" borderId="5" xfId="0" applyFont="1" applyBorder="1" applyAlignment="1">
      <alignment horizontal="center" vertical="top" wrapText="1"/>
    </xf>
    <xf numFmtId="0" fontId="61" fillId="0" borderId="9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/>
    </xf>
    <xf numFmtId="4" fontId="60" fillId="2" borderId="27" xfId="0" applyNumberFormat="1" applyFont="1" applyFill="1" applyBorder="1" applyAlignment="1">
      <alignment horizontal="center" vertical="center" wrapText="1"/>
    </xf>
    <xf numFmtId="4" fontId="61" fillId="0" borderId="1" xfId="0" applyNumberFormat="1" applyFont="1" applyBorder="1" applyAlignment="1">
      <alignment horizontal="center" vertical="center" wrapText="1"/>
    </xf>
    <xf numFmtId="4" fontId="61" fillId="2" borderId="1" xfId="0" applyNumberFormat="1" applyFont="1" applyFill="1" applyBorder="1" applyAlignment="1">
      <alignment horizontal="center" vertical="center" wrapText="1"/>
    </xf>
    <xf numFmtId="4" fontId="61" fillId="0" borderId="5" xfId="0" applyNumberFormat="1" applyFont="1" applyBorder="1" applyAlignment="1">
      <alignment horizontal="center" vertical="center" wrapText="1"/>
    </xf>
    <xf numFmtId="4" fontId="61" fillId="2" borderId="5" xfId="0" applyNumberFormat="1" applyFont="1" applyFill="1" applyBorder="1" applyAlignment="1">
      <alignment horizontal="center" vertical="center" wrapText="1"/>
    </xf>
    <xf numFmtId="0" fontId="65" fillId="2" borderId="0" xfId="0" applyFont="1" applyFill="1"/>
    <xf numFmtId="0" fontId="48" fillId="2" borderId="0" xfId="0" applyFont="1" applyFill="1"/>
    <xf numFmtId="0" fontId="63" fillId="0" borderId="1" xfId="0" applyFont="1" applyBorder="1" applyAlignment="1">
      <alignment vertical="center"/>
    </xf>
    <xf numFmtId="4" fontId="63" fillId="0" borderId="1" xfId="0" applyNumberFormat="1" applyFont="1" applyBorder="1" applyAlignment="1">
      <alignment vertical="center" wrapText="1"/>
    </xf>
    <xf numFmtId="4" fontId="63" fillId="3" borderId="1" xfId="0" applyNumberFormat="1" applyFont="1" applyFill="1" applyBorder="1" applyAlignment="1">
      <alignment vertical="center" wrapText="1"/>
    </xf>
    <xf numFmtId="4" fontId="66" fillId="0" borderId="1" xfId="0" applyNumberFormat="1" applyFont="1" applyBorder="1" applyAlignment="1">
      <alignment vertical="top" wrapText="1"/>
    </xf>
    <xf numFmtId="4" fontId="66" fillId="0" borderId="1" xfId="0" applyNumberFormat="1" applyFont="1" applyBorder="1" applyAlignment="1">
      <alignment horizontal="right" vertical="center" wrapText="1"/>
    </xf>
    <xf numFmtId="4" fontId="63" fillId="0" borderId="1" xfId="0" applyNumberFormat="1" applyFont="1" applyBorder="1" applyAlignment="1">
      <alignment horizontal="right" vertical="center" wrapText="1"/>
    </xf>
    <xf numFmtId="0" fontId="48" fillId="11" borderId="0" xfId="0" applyFont="1" applyFill="1"/>
    <xf numFmtId="4" fontId="28" fillId="3" borderId="7" xfId="0" applyNumberFormat="1" applyFont="1" applyFill="1" applyBorder="1" applyAlignment="1">
      <alignment horizontal="center" vertical="top" wrapText="1"/>
    </xf>
    <xf numFmtId="0" fontId="24" fillId="3" borderId="1" xfId="0" applyFont="1" applyFill="1" applyBorder="1" applyAlignment="1">
      <alignment horizontal="center" vertical="top" wrapText="1"/>
    </xf>
    <xf numFmtId="4" fontId="24" fillId="3" borderId="1" xfId="0" applyNumberFormat="1" applyFont="1" applyFill="1" applyBorder="1" applyAlignment="1">
      <alignment horizontal="center" vertical="top" wrapText="1"/>
    </xf>
    <xf numFmtId="0" fontId="32" fillId="3" borderId="30" xfId="0" applyFont="1" applyFill="1" applyBorder="1" applyAlignment="1">
      <alignment horizontal="center" vertical="center" wrapText="1"/>
    </xf>
    <xf numFmtId="0" fontId="32" fillId="3" borderId="27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49" fontId="10" fillId="4" borderId="3" xfId="0" applyNumberFormat="1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vertical="top" wrapText="1"/>
    </xf>
    <xf numFmtId="0" fontId="26" fillId="9" borderId="1" xfId="0" applyFont="1" applyFill="1" applyBorder="1"/>
    <xf numFmtId="0" fontId="26" fillId="3" borderId="1" xfId="0" applyFont="1" applyFill="1" applyBorder="1"/>
    <xf numFmtId="4" fontId="26" fillId="9" borderId="1" xfId="0" applyNumberFormat="1" applyFont="1" applyFill="1" applyBorder="1"/>
    <xf numFmtId="4" fontId="26" fillId="3" borderId="1" xfId="0" applyNumberFormat="1" applyFont="1" applyFill="1" applyBorder="1"/>
    <xf numFmtId="4" fontId="26" fillId="3" borderId="2" xfId="0" applyNumberFormat="1" applyFont="1" applyFill="1" applyBorder="1"/>
    <xf numFmtId="0" fontId="65" fillId="11" borderId="0" xfId="0" applyFont="1" applyFill="1"/>
    <xf numFmtId="0" fontId="42" fillId="3" borderId="0" xfId="0" applyFont="1" applyFill="1" applyAlignment="1">
      <alignment horizontal="center" vertical="center" wrapText="1"/>
    </xf>
    <xf numFmtId="49" fontId="20" fillId="4" borderId="30" xfId="0" applyNumberFormat="1" applyFont="1" applyFill="1" applyBorder="1" applyAlignment="1">
      <alignment horizontal="center" vertical="center" wrapText="1"/>
    </xf>
    <xf numFmtId="49" fontId="20" fillId="4" borderId="3" xfId="0" applyNumberFormat="1" applyFont="1" applyFill="1" applyBorder="1" applyAlignment="1">
      <alignment horizontal="center" vertical="center" wrapText="1"/>
    </xf>
    <xf numFmtId="49" fontId="20" fillId="4" borderId="16" xfId="0" applyNumberFormat="1" applyFont="1" applyFill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20" fillId="4" borderId="24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horizontal="center" vertical="center"/>
    </xf>
    <xf numFmtId="0" fontId="20" fillId="4" borderId="25" xfId="0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horizontal="center" vertical="center"/>
    </xf>
    <xf numFmtId="0" fontId="20" fillId="4" borderId="28" xfId="0" applyFont="1" applyFill="1" applyBorder="1" applyAlignment="1">
      <alignment horizontal="center" vertical="center" wrapText="1"/>
    </xf>
    <xf numFmtId="0" fontId="20" fillId="4" borderId="2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/>
    </xf>
    <xf numFmtId="49" fontId="20" fillId="6" borderId="30" xfId="0" applyNumberFormat="1" applyFont="1" applyFill="1" applyBorder="1" applyAlignment="1">
      <alignment horizontal="center" vertical="center" wrapText="1"/>
    </xf>
    <xf numFmtId="49" fontId="20" fillId="6" borderId="3" xfId="0" applyNumberFormat="1" applyFont="1" applyFill="1" applyBorder="1" applyAlignment="1">
      <alignment horizontal="center" vertical="center" wrapText="1"/>
    </xf>
    <xf numFmtId="49" fontId="20" fillId="6" borderId="16" xfId="0" applyNumberFormat="1" applyFont="1" applyFill="1" applyBorder="1" applyAlignment="1">
      <alignment horizontal="center" vertical="center" wrapText="1"/>
    </xf>
    <xf numFmtId="0" fontId="20" fillId="6" borderId="27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0" fillId="6" borderId="21" xfId="0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center" vertical="center" wrapText="1"/>
    </xf>
    <xf numFmtId="0" fontId="20" fillId="6" borderId="24" xfId="0" applyFont="1" applyFill="1" applyBorder="1" applyAlignment="1">
      <alignment horizontal="center" vertical="center" wrapText="1"/>
    </xf>
    <xf numFmtId="0" fontId="20" fillId="6" borderId="25" xfId="0" applyFont="1" applyFill="1" applyBorder="1" applyAlignment="1">
      <alignment horizontal="center" vertical="center" wrapText="1"/>
    </xf>
    <xf numFmtId="0" fontId="20" fillId="6" borderId="23" xfId="0" applyFont="1" applyFill="1" applyBorder="1" applyAlignment="1">
      <alignment horizontal="center" vertical="center"/>
    </xf>
    <xf numFmtId="0" fontId="20" fillId="6" borderId="24" xfId="0" applyFont="1" applyFill="1" applyBorder="1" applyAlignment="1">
      <alignment horizontal="center" vertical="center"/>
    </xf>
    <xf numFmtId="0" fontId="20" fillId="6" borderId="25" xfId="0" applyFont="1" applyFill="1" applyBorder="1" applyAlignment="1">
      <alignment horizontal="center" vertical="center"/>
    </xf>
    <xf numFmtId="0" fontId="20" fillId="6" borderId="26" xfId="0" applyFont="1" applyFill="1" applyBorder="1" applyAlignment="1">
      <alignment horizontal="center" vertical="center"/>
    </xf>
    <xf numFmtId="0" fontId="20" fillId="6" borderId="28" xfId="0" applyFont="1" applyFill="1" applyBorder="1" applyAlignment="1">
      <alignment horizontal="center" vertical="center" wrapText="1"/>
    </xf>
    <xf numFmtId="0" fontId="20" fillId="6" borderId="29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/>
    </xf>
    <xf numFmtId="0" fontId="20" fillId="3" borderId="25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center" vertical="center" wrapText="1"/>
    </xf>
    <xf numFmtId="0" fontId="20" fillId="3" borderId="28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left" vertical="top" wrapText="1"/>
    </xf>
    <xf numFmtId="0" fontId="19" fillId="3" borderId="0" xfId="0" applyFont="1" applyFill="1" applyAlignment="1">
      <alignment horizontal="center"/>
    </xf>
    <xf numFmtId="0" fontId="46" fillId="3" borderId="0" xfId="0" applyFont="1" applyFill="1" applyAlignment="1">
      <alignment horizontal="center"/>
    </xf>
    <xf numFmtId="49" fontId="43" fillId="3" borderId="0" xfId="0" applyNumberFormat="1" applyFont="1" applyFill="1" applyAlignment="1">
      <alignment horizontal="center"/>
    </xf>
    <xf numFmtId="49" fontId="20" fillId="3" borderId="30" xfId="0" applyNumberFormat="1" applyFont="1" applyFill="1" applyBorder="1" applyAlignment="1">
      <alignment horizontal="center" vertical="center" wrapText="1"/>
    </xf>
    <xf numFmtId="49" fontId="20" fillId="3" borderId="3" xfId="0" applyNumberFormat="1" applyFont="1" applyFill="1" applyBorder="1" applyAlignment="1">
      <alignment horizontal="center" vertical="center" wrapText="1"/>
    </xf>
    <xf numFmtId="49" fontId="20" fillId="3" borderId="16" xfId="0" applyNumberFormat="1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20" fillId="3" borderId="25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1" fillId="3" borderId="3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49" fontId="27" fillId="3" borderId="30" xfId="0" applyNumberFormat="1" applyFont="1" applyFill="1" applyBorder="1" applyAlignment="1">
      <alignment horizontal="center" vertical="center" wrapText="1"/>
    </xf>
    <xf numFmtId="49" fontId="27" fillId="3" borderId="3" xfId="0" applyNumberFormat="1" applyFont="1" applyFill="1" applyBorder="1" applyAlignment="1">
      <alignment horizontal="center" vertical="center" wrapText="1"/>
    </xf>
    <xf numFmtId="49" fontId="27" fillId="3" borderId="16" xfId="0" applyNumberFormat="1" applyFont="1" applyFill="1" applyBorder="1" applyAlignment="1">
      <alignment horizontal="center" vertical="center" wrapText="1"/>
    </xf>
    <xf numFmtId="0" fontId="27" fillId="3" borderId="27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1" fillId="3" borderId="27" xfId="0" applyFont="1" applyFill="1" applyBorder="1" applyAlignment="1">
      <alignment horizontal="center" vertical="top" wrapText="1"/>
    </xf>
    <xf numFmtId="0" fontId="1" fillId="3" borderId="28" xfId="0" applyFont="1" applyFill="1" applyBorder="1" applyAlignment="1">
      <alignment horizontal="center" vertical="top" wrapText="1"/>
    </xf>
    <xf numFmtId="0" fontId="1" fillId="3" borderId="29" xfId="0" applyFont="1" applyFill="1" applyBorder="1" applyAlignment="1">
      <alignment horizontal="center" vertical="top" wrapText="1"/>
    </xf>
    <xf numFmtId="49" fontId="1" fillId="3" borderId="30" xfId="0" applyNumberFormat="1" applyFont="1" applyFill="1" applyBorder="1" applyAlignment="1">
      <alignment vertical="top" wrapText="1"/>
    </xf>
    <xf numFmtId="49" fontId="1" fillId="3" borderId="3" xfId="0" applyNumberFormat="1" applyFont="1" applyFill="1" applyBorder="1" applyAlignment="1">
      <alignment vertical="top" wrapText="1"/>
    </xf>
    <xf numFmtId="49" fontId="1" fillId="3" borderId="16" xfId="0" applyNumberFormat="1" applyFont="1" applyFill="1" applyBorder="1" applyAlignment="1">
      <alignment vertical="top" wrapText="1"/>
    </xf>
    <xf numFmtId="4" fontId="52" fillId="3" borderId="0" xfId="0" applyNumberFormat="1" applyFont="1" applyFill="1" applyAlignment="1">
      <alignment horizontal="center"/>
    </xf>
    <xf numFmtId="0" fontId="41" fillId="3" borderId="0" xfId="0" applyFont="1" applyFill="1" applyBorder="1" applyAlignment="1">
      <alignment horizontal="center" vertical="center" wrapText="1"/>
    </xf>
    <xf numFmtId="0" fontId="40" fillId="3" borderId="0" xfId="0" applyFont="1" applyFill="1" applyBorder="1" applyAlignment="1">
      <alignment horizontal="center" vertical="center" wrapText="1"/>
    </xf>
    <xf numFmtId="49" fontId="58" fillId="4" borderId="30" xfId="0" applyNumberFormat="1" applyFont="1" applyFill="1" applyBorder="1" applyAlignment="1">
      <alignment horizontal="center" vertical="center" wrapText="1"/>
    </xf>
    <xf numFmtId="49" fontId="58" fillId="4" borderId="3" xfId="0" applyNumberFormat="1" applyFont="1" applyFill="1" applyBorder="1" applyAlignment="1">
      <alignment horizontal="center" vertical="center" wrapText="1"/>
    </xf>
    <xf numFmtId="49" fontId="58" fillId="4" borderId="16" xfId="0" applyNumberFormat="1" applyFont="1" applyFill="1" applyBorder="1" applyAlignment="1">
      <alignment horizontal="center" vertical="center" wrapText="1"/>
    </xf>
    <xf numFmtId="49" fontId="56" fillId="4" borderId="30" xfId="0" applyNumberFormat="1" applyFont="1" applyFill="1" applyBorder="1" applyAlignment="1">
      <alignment horizontal="center" vertical="center" wrapText="1"/>
    </xf>
    <xf numFmtId="49" fontId="56" fillId="4" borderId="3" xfId="0" applyNumberFormat="1" applyFont="1" applyFill="1" applyBorder="1" applyAlignment="1">
      <alignment horizontal="center" vertical="center" wrapText="1"/>
    </xf>
    <xf numFmtId="49" fontId="56" fillId="4" borderId="16" xfId="0" applyNumberFormat="1" applyFont="1" applyFill="1" applyBorder="1" applyAlignment="1">
      <alignment horizontal="center" vertical="center" wrapText="1"/>
    </xf>
    <xf numFmtId="49" fontId="1" fillId="4" borderId="30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49" fontId="1" fillId="4" borderId="16" xfId="0" applyNumberFormat="1" applyFont="1" applyFill="1" applyBorder="1" applyAlignment="1">
      <alignment horizontal="center" vertical="center" wrapText="1"/>
    </xf>
    <xf numFmtId="49" fontId="1" fillId="3" borderId="30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16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3" fillId="0" borderId="8" xfId="0" applyFont="1" applyBorder="1" applyAlignment="1">
      <alignment horizontal="center" vertical="top" wrapText="1"/>
    </xf>
    <xf numFmtId="0" fontId="13" fillId="0" borderId="32" xfId="0" applyFont="1" applyBorder="1" applyAlignment="1">
      <alignment horizontal="center" vertical="top" wrapText="1"/>
    </xf>
    <xf numFmtId="0" fontId="13" fillId="0" borderId="31" xfId="0" applyFont="1" applyBorder="1" applyAlignment="1">
      <alignment horizontal="center" vertical="top" wrapText="1"/>
    </xf>
    <xf numFmtId="164" fontId="15" fillId="0" borderId="33" xfId="1" applyFont="1" applyBorder="1" applyAlignment="1">
      <alignment horizontal="center" wrapText="1"/>
    </xf>
    <xf numFmtId="165" fontId="17" fillId="0" borderId="8" xfId="1" applyNumberFormat="1" applyFont="1" applyBorder="1" applyAlignment="1">
      <alignment horizontal="center" wrapText="1"/>
    </xf>
    <xf numFmtId="165" fontId="17" fillId="0" borderId="32" xfId="1" applyNumberFormat="1" applyFont="1" applyBorder="1" applyAlignment="1">
      <alignment horizontal="center" wrapText="1"/>
    </xf>
    <xf numFmtId="165" fontId="17" fillId="0" borderId="31" xfId="1" applyNumberFormat="1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32" xfId="0" applyFont="1" applyBorder="1" applyAlignment="1">
      <alignment horizontal="center" wrapText="1"/>
    </xf>
    <xf numFmtId="0" fontId="14" fillId="0" borderId="31" xfId="0" applyFont="1" applyBorder="1" applyAlignment="1">
      <alignment horizontal="center" wrapText="1"/>
    </xf>
    <xf numFmtId="164" fontId="17" fillId="0" borderId="8" xfId="1" applyNumberFormat="1" applyFont="1" applyBorder="1" applyAlignment="1">
      <alignment horizontal="center" wrapText="1"/>
    </xf>
    <xf numFmtId="164" fontId="17" fillId="0" borderId="32" xfId="1" applyNumberFormat="1" applyFont="1" applyBorder="1" applyAlignment="1">
      <alignment horizontal="center" wrapText="1"/>
    </xf>
    <xf numFmtId="164" fontId="17" fillId="0" borderId="31" xfId="1" applyNumberFormat="1" applyFont="1" applyBorder="1" applyAlignment="1">
      <alignment horizontal="center" wrapText="1"/>
    </xf>
    <xf numFmtId="0" fontId="13" fillId="0" borderId="17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7" fillId="0" borderId="8" xfId="0" applyFont="1" applyBorder="1" applyAlignment="1">
      <alignment wrapText="1"/>
    </xf>
    <xf numFmtId="0" fontId="17" fillId="0" borderId="31" xfId="0" applyFont="1" applyBorder="1" applyAlignment="1">
      <alignment wrapText="1"/>
    </xf>
    <xf numFmtId="165" fontId="16" fillId="0" borderId="1" xfId="1" applyNumberFormat="1" applyFont="1" applyBorder="1" applyAlignment="1">
      <alignment horizontal="center"/>
    </xf>
    <xf numFmtId="164" fontId="16" fillId="0" borderId="1" xfId="1" applyNumberFormat="1" applyFont="1" applyBorder="1" applyAlignment="1">
      <alignment horizontal="center"/>
    </xf>
    <xf numFmtId="0" fontId="16" fillId="0" borderId="8" xfId="0" applyFont="1" applyBorder="1" applyAlignment="1">
      <alignment horizontal="left" wrapText="1"/>
    </xf>
    <xf numFmtId="0" fontId="16" fillId="0" borderId="31" xfId="0" applyFont="1" applyBorder="1" applyAlignment="1">
      <alignment horizontal="left" wrapText="1"/>
    </xf>
  </cellXfs>
  <cellStyles count="4">
    <cellStyle name="Обычный" xfId="0" builtinId="0"/>
    <cellStyle name="Обычный 2 2" xfId="3"/>
    <cellStyle name="Финансовый" xfId="2" builtinId="3"/>
    <cellStyle name="Финансовый 2" xfId="1"/>
  </cellStyles>
  <dxfs count="0"/>
  <tableStyles count="0" defaultTableStyle="TableStyleMedium9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B1:Y194"/>
  <sheetViews>
    <sheetView tabSelected="1" view="pageBreakPreview" zoomScale="70" zoomScaleNormal="100" zoomScaleSheetLayoutView="70" workbookViewId="0">
      <selection activeCell="G52" sqref="G52:G53"/>
    </sheetView>
  </sheetViews>
  <sheetFormatPr defaultRowHeight="15.75"/>
  <cols>
    <col min="1" max="1" width="3.42578125" style="31" customWidth="1"/>
    <col min="2" max="2" width="7.85546875" style="31" customWidth="1"/>
    <col min="3" max="3" width="34" style="31" customWidth="1"/>
    <col min="4" max="4" width="15.7109375" style="31" customWidth="1"/>
    <col min="5" max="9" width="16.28515625" style="31" customWidth="1"/>
    <col min="10" max="10" width="18.7109375" style="31" customWidth="1"/>
    <col min="11" max="11" width="20.140625" style="31" customWidth="1"/>
    <col min="12" max="12" width="17.7109375" style="31" customWidth="1"/>
    <col min="13" max="15" width="17.28515625" style="31" customWidth="1"/>
    <col min="16" max="17" width="18.7109375" style="31" customWidth="1"/>
    <col min="18" max="18" width="18.85546875" style="31" customWidth="1"/>
    <col min="19" max="19" width="16.28515625" style="31" customWidth="1"/>
    <col min="20" max="20" width="18.85546875" style="31" customWidth="1"/>
    <col min="21" max="21" width="17.28515625" style="31" customWidth="1"/>
    <col min="22" max="22" width="11.42578125" style="31" customWidth="1"/>
    <col min="23" max="23" width="14" style="31" customWidth="1"/>
    <col min="24" max="24" width="12.28515625" style="31" customWidth="1"/>
    <col min="25" max="16384" width="9.140625" style="31"/>
  </cols>
  <sheetData>
    <row r="1" spans="2:24">
      <c r="S1" s="660" t="s">
        <v>40</v>
      </c>
      <c r="T1" s="660"/>
      <c r="U1" s="660"/>
      <c r="V1" s="660"/>
      <c r="W1" s="660"/>
      <c r="X1" s="660"/>
    </row>
    <row r="2" spans="2:24" ht="23.25" customHeight="1"/>
    <row r="3" spans="2:24">
      <c r="R3" s="660" t="s">
        <v>75</v>
      </c>
      <c r="S3" s="660"/>
      <c r="T3" s="660"/>
      <c r="U3" s="660"/>
      <c r="V3" s="660"/>
      <c r="W3" s="660"/>
      <c r="X3" s="660"/>
    </row>
    <row r="4" spans="2:24">
      <c r="B4" s="433"/>
      <c r="C4" s="32"/>
      <c r="R4" s="661" t="s">
        <v>80</v>
      </c>
      <c r="S4" s="660"/>
      <c r="T4" s="660"/>
      <c r="U4" s="660"/>
      <c r="V4" s="660"/>
      <c r="W4" s="660"/>
      <c r="X4" s="660"/>
    </row>
    <row r="5" spans="2:24">
      <c r="B5" s="433"/>
      <c r="C5" s="32"/>
      <c r="R5" s="661" t="s">
        <v>81</v>
      </c>
      <c r="S5" s="661"/>
      <c r="T5" s="661"/>
      <c r="U5" s="661"/>
      <c r="V5" s="661"/>
      <c r="W5" s="661"/>
      <c r="X5" s="661"/>
    </row>
    <row r="6" spans="2:24">
      <c r="B6" s="433"/>
      <c r="C6" s="32"/>
      <c r="J6" s="147"/>
      <c r="K6" s="147"/>
      <c r="L6" s="147"/>
      <c r="R6" s="661" t="s">
        <v>82</v>
      </c>
      <c r="S6" s="661"/>
      <c r="T6" s="661"/>
      <c r="U6" s="661"/>
      <c r="V6" s="661"/>
      <c r="W6" s="661"/>
      <c r="X6" s="661"/>
    </row>
    <row r="7" spans="2:24">
      <c r="B7" s="433"/>
      <c r="C7" s="32"/>
      <c r="R7" s="661" t="s">
        <v>78</v>
      </c>
      <c r="S7" s="661"/>
      <c r="T7" s="661"/>
      <c r="U7" s="661"/>
      <c r="V7" s="661"/>
      <c r="W7" s="661"/>
      <c r="X7" s="661"/>
    </row>
    <row r="8" spans="2:24" ht="33.75" customHeight="1">
      <c r="B8" s="433"/>
      <c r="C8" s="32"/>
      <c r="S8" s="33"/>
      <c r="T8" s="33"/>
    </row>
    <row r="9" spans="2:24" ht="18.75">
      <c r="B9" s="662" t="s">
        <v>41</v>
      </c>
      <c r="C9" s="662"/>
      <c r="D9" s="662"/>
      <c r="E9" s="662"/>
      <c r="F9" s="662"/>
      <c r="G9" s="662"/>
      <c r="H9" s="662"/>
      <c r="I9" s="662"/>
      <c r="J9" s="662"/>
      <c r="K9" s="662"/>
      <c r="L9" s="662"/>
      <c r="M9" s="662"/>
      <c r="N9" s="662"/>
      <c r="O9" s="662"/>
      <c r="P9" s="662"/>
      <c r="Q9" s="662"/>
      <c r="R9" s="662"/>
      <c r="S9" s="662"/>
      <c r="T9" s="662"/>
      <c r="U9" s="662"/>
      <c r="V9" s="662"/>
      <c r="W9" s="662"/>
      <c r="X9" s="662"/>
    </row>
    <row r="10" spans="2:24" ht="18.75">
      <c r="B10" s="662" t="s">
        <v>83</v>
      </c>
      <c r="C10" s="662"/>
      <c r="D10" s="662"/>
      <c r="E10" s="662"/>
      <c r="F10" s="662"/>
      <c r="G10" s="662"/>
      <c r="H10" s="662"/>
      <c r="I10" s="662"/>
      <c r="J10" s="662"/>
      <c r="K10" s="662"/>
      <c r="L10" s="662"/>
      <c r="M10" s="662"/>
      <c r="N10" s="662"/>
      <c r="O10" s="662"/>
      <c r="P10" s="662"/>
      <c r="Q10" s="662"/>
      <c r="R10" s="662"/>
      <c r="S10" s="662"/>
      <c r="T10" s="662"/>
      <c r="U10" s="662"/>
      <c r="V10" s="662"/>
      <c r="W10" s="662"/>
      <c r="X10" s="662"/>
    </row>
    <row r="11" spans="2:24" ht="18.75">
      <c r="B11" s="662" t="s">
        <v>84</v>
      </c>
      <c r="C11" s="662"/>
      <c r="D11" s="662"/>
      <c r="E11" s="662"/>
      <c r="F11" s="662"/>
      <c r="G11" s="662"/>
      <c r="H11" s="662"/>
      <c r="I11" s="662"/>
      <c r="J11" s="662"/>
      <c r="K11" s="662"/>
      <c r="L11" s="662"/>
      <c r="M11" s="662"/>
      <c r="N11" s="662"/>
      <c r="O11" s="662"/>
      <c r="P11" s="662"/>
      <c r="Q11" s="662"/>
      <c r="R11" s="662"/>
      <c r="S11" s="662"/>
      <c r="T11" s="662"/>
      <c r="U11" s="662"/>
      <c r="V11" s="662"/>
      <c r="W11" s="662"/>
      <c r="X11" s="662"/>
    </row>
    <row r="12" spans="2:24" ht="18.75">
      <c r="B12" s="422"/>
      <c r="C12" s="100"/>
      <c r="D12" s="100"/>
      <c r="E12" s="100"/>
      <c r="F12" s="100"/>
      <c r="G12" s="100"/>
      <c r="H12" s="100"/>
      <c r="I12" s="100"/>
      <c r="J12" s="100"/>
      <c r="K12" s="100"/>
      <c r="L12" s="110" t="s">
        <v>15</v>
      </c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</row>
    <row r="13" spans="2:24" ht="27.75" customHeight="1">
      <c r="B13" s="692" t="s">
        <v>126</v>
      </c>
      <c r="C13" s="693"/>
      <c r="D13" s="693"/>
      <c r="E13" s="693"/>
      <c r="F13" s="693"/>
      <c r="G13" s="693"/>
      <c r="H13" s="693"/>
      <c r="I13" s="693"/>
      <c r="J13" s="693"/>
      <c r="K13" s="693"/>
      <c r="L13" s="693"/>
      <c r="M13" s="693"/>
      <c r="N13" s="693"/>
      <c r="O13" s="693"/>
      <c r="P13" s="693"/>
      <c r="Q13" s="693"/>
      <c r="R13" s="693"/>
      <c r="S13" s="693"/>
      <c r="T13" s="693"/>
      <c r="U13" s="693"/>
      <c r="V13" s="693"/>
      <c r="W13" s="693"/>
      <c r="X13" s="693"/>
    </row>
    <row r="14" spans="2:24" ht="23.25" customHeight="1">
      <c r="B14" s="694" t="s">
        <v>98</v>
      </c>
      <c r="C14" s="694"/>
      <c r="D14" s="694"/>
      <c r="E14" s="694"/>
      <c r="F14" s="694"/>
      <c r="G14" s="694"/>
      <c r="H14" s="694"/>
      <c r="I14" s="694"/>
      <c r="J14" s="694"/>
      <c r="K14" s="694"/>
      <c r="L14" s="694"/>
      <c r="M14" s="694"/>
      <c r="N14" s="694"/>
      <c r="O14" s="694"/>
      <c r="P14" s="694"/>
      <c r="Q14" s="694"/>
      <c r="R14" s="694"/>
      <c r="S14" s="694"/>
      <c r="T14" s="694"/>
      <c r="U14" s="694"/>
      <c r="V14" s="694"/>
      <c r="W14" s="694"/>
      <c r="X14" s="694"/>
    </row>
    <row r="15" spans="2:24" ht="27" customHeight="1" thickBot="1">
      <c r="B15" s="433"/>
      <c r="M15" s="147"/>
      <c r="N15" s="147"/>
      <c r="O15" s="147"/>
      <c r="S15" s="33"/>
      <c r="T15" s="33"/>
      <c r="U15" s="33"/>
    </row>
    <row r="16" spans="2:24" ht="24" customHeight="1">
      <c r="B16" s="695"/>
      <c r="C16" s="686" t="s">
        <v>0</v>
      </c>
      <c r="D16" s="680" t="s">
        <v>38</v>
      </c>
      <c r="E16" s="681"/>
      <c r="F16" s="680" t="s">
        <v>39</v>
      </c>
      <c r="G16" s="681"/>
      <c r="H16" s="680" t="s">
        <v>37</v>
      </c>
      <c r="I16" s="681"/>
      <c r="J16" s="680" t="s">
        <v>74</v>
      </c>
      <c r="K16" s="681"/>
      <c r="L16" s="682"/>
      <c r="M16" s="680" t="s">
        <v>36</v>
      </c>
      <c r="N16" s="681"/>
      <c r="O16" s="682"/>
      <c r="P16" s="686" t="s">
        <v>32</v>
      </c>
      <c r="Q16" s="686"/>
      <c r="R16" s="686"/>
      <c r="S16" s="686"/>
      <c r="T16" s="686"/>
      <c r="U16" s="686"/>
      <c r="V16" s="686"/>
      <c r="W16" s="687"/>
      <c r="X16" s="688"/>
    </row>
    <row r="17" spans="2:24" ht="49.5" customHeight="1">
      <c r="B17" s="696"/>
      <c r="C17" s="689"/>
      <c r="D17" s="699"/>
      <c r="E17" s="700"/>
      <c r="F17" s="699"/>
      <c r="G17" s="700"/>
      <c r="H17" s="699"/>
      <c r="I17" s="700"/>
      <c r="J17" s="683"/>
      <c r="K17" s="684"/>
      <c r="L17" s="685"/>
      <c r="M17" s="683"/>
      <c r="N17" s="684"/>
      <c r="O17" s="685"/>
      <c r="P17" s="689" t="s">
        <v>53</v>
      </c>
      <c r="Q17" s="689"/>
      <c r="R17" s="689"/>
      <c r="S17" s="689" t="s">
        <v>54</v>
      </c>
      <c r="T17" s="689"/>
      <c r="U17" s="689"/>
      <c r="V17" s="689" t="s">
        <v>55</v>
      </c>
      <c r="W17" s="689"/>
      <c r="X17" s="690"/>
    </row>
    <row r="18" spans="2:24" ht="99.75" customHeight="1" thickBot="1">
      <c r="B18" s="697"/>
      <c r="C18" s="698"/>
      <c r="D18" s="443" t="s">
        <v>123</v>
      </c>
      <c r="E18" s="443" t="s">
        <v>14</v>
      </c>
      <c r="F18" s="443" t="s">
        <v>123</v>
      </c>
      <c r="G18" s="443" t="s">
        <v>14</v>
      </c>
      <c r="H18" s="443" t="s">
        <v>123</v>
      </c>
      <c r="I18" s="443" t="s">
        <v>14</v>
      </c>
      <c r="J18" s="443" t="s">
        <v>124</v>
      </c>
      <c r="K18" s="443" t="s">
        <v>19</v>
      </c>
      <c r="L18" s="443" t="s">
        <v>31</v>
      </c>
      <c r="M18" s="443" t="s">
        <v>124</v>
      </c>
      <c r="N18" s="443" t="s">
        <v>19</v>
      </c>
      <c r="O18" s="443" t="s">
        <v>31</v>
      </c>
      <c r="P18" s="443" t="s">
        <v>124</v>
      </c>
      <c r="Q18" s="443" t="s">
        <v>19</v>
      </c>
      <c r="R18" s="443" t="s">
        <v>31</v>
      </c>
      <c r="S18" s="443" t="s">
        <v>124</v>
      </c>
      <c r="T18" s="443" t="s">
        <v>19</v>
      </c>
      <c r="U18" s="443" t="s">
        <v>31</v>
      </c>
      <c r="V18" s="443" t="s">
        <v>124</v>
      </c>
      <c r="W18" s="443" t="s">
        <v>19</v>
      </c>
      <c r="X18" s="444" t="s">
        <v>31</v>
      </c>
    </row>
    <row r="19" spans="2:24" ht="16.5" thickBot="1">
      <c r="B19" s="434">
        <v>1</v>
      </c>
      <c r="C19" s="134">
        <v>2</v>
      </c>
      <c r="D19" s="134">
        <v>3</v>
      </c>
      <c r="E19" s="135">
        <v>4</v>
      </c>
      <c r="F19" s="134">
        <v>5</v>
      </c>
      <c r="G19" s="134">
        <v>6</v>
      </c>
      <c r="H19" s="135">
        <v>7</v>
      </c>
      <c r="I19" s="134">
        <v>8</v>
      </c>
      <c r="J19" s="134">
        <v>9</v>
      </c>
      <c r="K19" s="135">
        <v>10</v>
      </c>
      <c r="L19" s="134">
        <v>11</v>
      </c>
      <c r="M19" s="134">
        <v>12</v>
      </c>
      <c r="N19" s="135">
        <v>13</v>
      </c>
      <c r="O19" s="134">
        <v>14</v>
      </c>
      <c r="P19" s="134">
        <v>15</v>
      </c>
      <c r="Q19" s="135">
        <v>16</v>
      </c>
      <c r="R19" s="134">
        <v>17</v>
      </c>
      <c r="S19" s="134">
        <v>18</v>
      </c>
      <c r="T19" s="135">
        <v>19</v>
      </c>
      <c r="U19" s="134">
        <v>20</v>
      </c>
      <c r="V19" s="134">
        <v>21</v>
      </c>
      <c r="W19" s="135">
        <v>22</v>
      </c>
      <c r="X19" s="136">
        <v>23</v>
      </c>
    </row>
    <row r="20" spans="2:24" ht="37.5">
      <c r="B20" s="435" t="s">
        <v>1</v>
      </c>
      <c r="C20" s="137" t="s">
        <v>56</v>
      </c>
      <c r="D20" s="361">
        <f>D21+D22+D23+D24</f>
        <v>1044</v>
      </c>
      <c r="E20" s="361">
        <f t="shared" ref="E20:H20" si="0">E21+E22+E23+E24</f>
        <v>1062.5</v>
      </c>
      <c r="F20" s="361">
        <f t="shared" si="0"/>
        <v>1057</v>
      </c>
      <c r="G20" s="361">
        <f t="shared" si="0"/>
        <v>1033.5</v>
      </c>
      <c r="H20" s="361">
        <f t="shared" si="0"/>
        <v>1052.5</v>
      </c>
      <c r="I20" s="361">
        <f>I21+I22+I23+I24</f>
        <v>1038.4000000000001</v>
      </c>
      <c r="J20" s="361">
        <f>J40+J50+J60+J70+J80+J90+J100+J110+J120+J130+J140+J150+J160+J170+J180+J190</f>
        <v>781789.19000000006</v>
      </c>
      <c r="K20" s="361">
        <f t="shared" ref="K20:L20" si="1">K40+K50+K60+K70+K80+K90+K100+K110+K120+K130+K140+K150+K160+K170+K180+K190</f>
        <v>793104.95</v>
      </c>
      <c r="L20" s="361">
        <f t="shared" si="1"/>
        <v>558195.03</v>
      </c>
      <c r="M20" s="361">
        <f ca="1">M21+M22+M23+M24</f>
        <v>535636.24000000011</v>
      </c>
      <c r="N20" s="361">
        <f>N21+N22+N23+N24</f>
        <v>540743.05000000005</v>
      </c>
      <c r="O20" s="361">
        <f>O21+O22+O23+O24</f>
        <v>389450.37999999995</v>
      </c>
      <c r="P20" s="361">
        <f ca="1">P21+P22+P23+P24</f>
        <v>479111.64000000007</v>
      </c>
      <c r="Q20" s="361">
        <f t="shared" ref="Q20:U20" si="2">Q21+Q22+Q23+Q24</f>
        <v>478830.97000000009</v>
      </c>
      <c r="R20" s="361">
        <f t="shared" si="2"/>
        <v>338985.12999999989</v>
      </c>
      <c r="S20" s="361">
        <f t="shared" si="2"/>
        <v>56524.6</v>
      </c>
      <c r="T20" s="361">
        <f t="shared" si="2"/>
        <v>61912.079999999994</v>
      </c>
      <c r="U20" s="361">
        <f t="shared" si="2"/>
        <v>50465.25</v>
      </c>
      <c r="V20" s="362">
        <f t="shared" ref="V20:X20" si="3">V21+V22+V23+V24</f>
        <v>0</v>
      </c>
      <c r="W20" s="362">
        <f t="shared" si="3"/>
        <v>0</v>
      </c>
      <c r="X20" s="363">
        <f t="shared" si="3"/>
        <v>0</v>
      </c>
    </row>
    <row r="21" spans="2:24" ht="50.25" customHeight="1">
      <c r="B21" s="436" t="s">
        <v>20</v>
      </c>
      <c r="C21" s="138" t="s">
        <v>57</v>
      </c>
      <c r="D21" s="364">
        <f>D41+D51+D61+D71+D81+D91+D101+D111+D121+D131++D141+D151+D161+D171+D181+D191</f>
        <v>4</v>
      </c>
      <c r="E21" s="364">
        <f t="shared" ref="E21:H21" si="4">E41+E51+E61+E71+E81+E91+E101+E111+E121+E131++E141+E151+E161+E171+E181+E191</f>
        <v>4</v>
      </c>
      <c r="F21" s="364">
        <f t="shared" si="4"/>
        <v>4</v>
      </c>
      <c r="G21" s="364">
        <f t="shared" si="4"/>
        <v>4</v>
      </c>
      <c r="H21" s="364">
        <f t="shared" si="4"/>
        <v>4</v>
      </c>
      <c r="I21" s="364">
        <f>I41+I51</f>
        <v>4</v>
      </c>
      <c r="J21" s="365" t="s">
        <v>46</v>
      </c>
      <c r="K21" s="365" t="s">
        <v>46</v>
      </c>
      <c r="L21" s="365" t="s">
        <v>46</v>
      </c>
      <c r="M21" s="364">
        <f>P21+S21+V21</f>
        <v>5271.58</v>
      </c>
      <c r="N21" s="364">
        <f t="shared" ref="N21:O24" si="5">Q21+T21+W21</f>
        <v>5957.75</v>
      </c>
      <c r="O21" s="364">
        <f t="shared" si="5"/>
        <v>4542.6399999999994</v>
      </c>
      <c r="P21" s="364">
        <f>P51+P61+P41+P71+P81+P91+P101+P121+P131+P141+P151+P161+P171+P181+P191</f>
        <v>5271.58</v>
      </c>
      <c r="Q21" s="364">
        <f t="shared" ref="Q21:U21" si="6">Q51+Q61+Q41+Q71+Q81+Q91+Q101+Q121+Q131+Q141+Q151+Q161+Q171+Q181+Q191</f>
        <v>5945.58</v>
      </c>
      <c r="R21" s="364">
        <f t="shared" si="6"/>
        <v>4530.4699999999993</v>
      </c>
      <c r="S21" s="364">
        <f t="shared" si="6"/>
        <v>0</v>
      </c>
      <c r="T21" s="364">
        <f t="shared" si="6"/>
        <v>12.17</v>
      </c>
      <c r="U21" s="364">
        <f t="shared" si="6"/>
        <v>12.17</v>
      </c>
      <c r="V21" s="366">
        <f>V41+V51+V61+V71+V81+V91+V101+V111+V121+V131+V141+V151+V161+V171+V181</f>
        <v>0</v>
      </c>
      <c r="W21" s="366">
        <f>W41+W51+W61+W71+W81+W91+W101+W111+W121+W131+W141+W151+W161+W171+W181</f>
        <v>0</v>
      </c>
      <c r="X21" s="366">
        <f>X41+X51+X61+X71+X81+X91+X101+X111+X121+X131+X141+X151+X161+X171+X181</f>
        <v>0</v>
      </c>
    </row>
    <row r="22" spans="2:24" ht="39" customHeight="1">
      <c r="B22" s="436" t="s">
        <v>21</v>
      </c>
      <c r="C22" s="138" t="s">
        <v>58</v>
      </c>
      <c r="D22" s="364">
        <f>D42+D52+D62+D72+D82+D92+D102+D112+D122+D132+D142+D152+D162+D172+D182+D192</f>
        <v>837</v>
      </c>
      <c r="E22" s="364">
        <f t="shared" ref="E22:I22" si="7">E42+E52+E62+E72+E82+E92+E102+E112+E122+E132+E142+E152+E162+E172+E182+E192</f>
        <v>855</v>
      </c>
      <c r="F22" s="364">
        <f t="shared" si="7"/>
        <v>856</v>
      </c>
      <c r="G22" s="364">
        <f t="shared" si="7"/>
        <v>832</v>
      </c>
      <c r="H22" s="364">
        <f t="shared" si="7"/>
        <v>851</v>
      </c>
      <c r="I22" s="364">
        <f t="shared" si="7"/>
        <v>837.4</v>
      </c>
      <c r="J22" s="365" t="s">
        <v>46</v>
      </c>
      <c r="K22" s="365" t="s">
        <v>46</v>
      </c>
      <c r="L22" s="365" t="s">
        <v>46</v>
      </c>
      <c r="M22" s="364">
        <f t="shared" ref="M22:M24" ca="1" si="8">P22+S22+V22</f>
        <v>463494.27</v>
      </c>
      <c r="N22" s="364">
        <f t="shared" si="5"/>
        <v>467246.83000000007</v>
      </c>
      <c r="O22" s="364">
        <f t="shared" si="5"/>
        <v>337505.48999999993</v>
      </c>
      <c r="P22" s="364">
        <f ca="1">P52+P62+P42+P72+P82+P92+P102+P122+P132+P142+P152+P162+P172+P182+P192+P112</f>
        <v>411476.28</v>
      </c>
      <c r="Q22" s="364">
        <f t="shared" ref="Q22:U22" si="9">Q52+Q62+Q42+Q72+Q82+Q92+Q102+Q122+Q132+Q142+Q152+Q162+Q172+Q182+Q192+Q112</f>
        <v>410467.49000000005</v>
      </c>
      <c r="R22" s="364">
        <f t="shared" si="9"/>
        <v>291117.49999999994</v>
      </c>
      <c r="S22" s="364">
        <f t="shared" si="9"/>
        <v>52017.99</v>
      </c>
      <c r="T22" s="364">
        <f t="shared" si="9"/>
        <v>56779.34</v>
      </c>
      <c r="U22" s="364">
        <f t="shared" si="9"/>
        <v>46387.99</v>
      </c>
      <c r="V22" s="364">
        <f t="shared" ref="V22:X22" si="10">V42+V52+V62+V72+V82+V92+V102+V112+V122+V132+V142+V152+V162+V172+V182+V192</f>
        <v>0</v>
      </c>
      <c r="W22" s="364">
        <f t="shared" si="10"/>
        <v>0</v>
      </c>
      <c r="X22" s="364">
        <f t="shared" si="10"/>
        <v>0</v>
      </c>
    </row>
    <row r="23" spans="2:24" ht="81.75" customHeight="1">
      <c r="B23" s="436" t="s">
        <v>22</v>
      </c>
      <c r="C23" s="138" t="s">
        <v>59</v>
      </c>
      <c r="D23" s="364">
        <f>D43+D53+D63+D73+D83+D93+D103+D113+D123+D133++D143+D153+D163+D173+D183+D193</f>
        <v>128.5</v>
      </c>
      <c r="E23" s="364">
        <f>E43+E53+E63+E73+E83+E93+E103+E113+E123+E133++E143+E153+E163+E173+E183+E193</f>
        <v>129</v>
      </c>
      <c r="F23" s="364">
        <f t="shared" ref="F23:I23" si="11">F43+F53+F63+F73+F83+F93+F103+F113+F123+F133++F143+F153+F163+F173+F183+F193</f>
        <v>126.5</v>
      </c>
      <c r="G23" s="364">
        <f t="shared" si="11"/>
        <v>127</v>
      </c>
      <c r="H23" s="364">
        <f t="shared" si="11"/>
        <v>127.5</v>
      </c>
      <c r="I23" s="364">
        <f t="shared" si="11"/>
        <v>127</v>
      </c>
      <c r="J23" s="365" t="s">
        <v>46</v>
      </c>
      <c r="K23" s="365" t="s">
        <v>46</v>
      </c>
      <c r="L23" s="365" t="s">
        <v>46</v>
      </c>
      <c r="M23" s="364">
        <f t="shared" si="8"/>
        <v>54245.100000000006</v>
      </c>
      <c r="N23" s="364">
        <f t="shared" si="5"/>
        <v>54786.780000000006</v>
      </c>
      <c r="O23" s="364">
        <f t="shared" si="5"/>
        <v>36937.130000000005</v>
      </c>
      <c r="P23" s="364">
        <f t="shared" ref="P23:U24" si="12">P53+P63+P43+P73+P83+P93+P103+P123+P133+P143+P153+P163+P173+P183+P193+P113</f>
        <v>51122.530000000006</v>
      </c>
      <c r="Q23" s="364">
        <f t="shared" si="12"/>
        <v>51050.250000000007</v>
      </c>
      <c r="R23" s="364">
        <f t="shared" si="12"/>
        <v>34179.040000000001</v>
      </c>
      <c r="S23" s="364">
        <f t="shared" si="12"/>
        <v>3122.57</v>
      </c>
      <c r="T23" s="364">
        <f t="shared" si="12"/>
        <v>3736.5299999999997</v>
      </c>
      <c r="U23" s="364">
        <f t="shared" si="12"/>
        <v>2758.09</v>
      </c>
      <c r="V23" s="367">
        <f>V43+V53+V63+V73+V83+V93+V103+V113+V123+V133+V143+V153+V162+V173+V183+V193</f>
        <v>0</v>
      </c>
      <c r="W23" s="367">
        <f>W43+W53+W63+W73+W83+W93+W103+W113+W123+W133+W143+W153+W162+W173+W183+W193</f>
        <v>0</v>
      </c>
      <c r="X23" s="366">
        <f>X43+X53+X63+X73+X83+X93+X103+X113+X123+X133+X143+X153+X162+X173+X183</f>
        <v>0</v>
      </c>
    </row>
    <row r="24" spans="2:24" ht="102" customHeight="1" thickBot="1">
      <c r="B24" s="437" t="s">
        <v>23</v>
      </c>
      <c r="C24" s="138" t="s">
        <v>85</v>
      </c>
      <c r="D24" s="364">
        <f>D44+D54+D64+D74+D84+D94+D104+D114+D124+D134++D144+D154+D164+D174+D184+D194</f>
        <v>74.5</v>
      </c>
      <c r="E24" s="364">
        <f>E44+E54+E64+E74+E84+E94+E104+E114+E124+E134++E144+E154+E164+E174+E184+E194</f>
        <v>74.5</v>
      </c>
      <c r="F24" s="364">
        <f t="shared" ref="F24:I24" si="13">F44+F54+F64+F74+F84+F94+F104+F114+F124+F134++F144+F154+F164+F174+F184+F194</f>
        <v>70.5</v>
      </c>
      <c r="G24" s="364">
        <f t="shared" si="13"/>
        <v>70.5</v>
      </c>
      <c r="H24" s="364">
        <f t="shared" si="13"/>
        <v>70</v>
      </c>
      <c r="I24" s="364">
        <f t="shared" si="13"/>
        <v>70</v>
      </c>
      <c r="J24" s="368" t="s">
        <v>46</v>
      </c>
      <c r="K24" s="368" t="s">
        <v>46</v>
      </c>
      <c r="L24" s="368" t="s">
        <v>46</v>
      </c>
      <c r="M24" s="364">
        <f t="shared" si="8"/>
        <v>12625.29</v>
      </c>
      <c r="N24" s="364">
        <f t="shared" si="5"/>
        <v>12751.689999999999</v>
      </c>
      <c r="O24" s="364">
        <f t="shared" si="5"/>
        <v>10465.120000000001</v>
      </c>
      <c r="P24" s="364">
        <f t="shared" si="12"/>
        <v>11241.25</v>
      </c>
      <c r="Q24" s="364">
        <f t="shared" si="12"/>
        <v>11367.65</v>
      </c>
      <c r="R24" s="364">
        <f t="shared" si="12"/>
        <v>9158.1200000000008</v>
      </c>
      <c r="S24" s="364">
        <f t="shared" si="12"/>
        <v>1384.04</v>
      </c>
      <c r="T24" s="364">
        <f t="shared" si="12"/>
        <v>1384.04</v>
      </c>
      <c r="U24" s="364">
        <f t="shared" si="12"/>
        <v>1307</v>
      </c>
      <c r="V24" s="367">
        <f>V44+V54+V64+V74+V84+V94+V104+V114+V124+V134+V144+V154+V163+V174+V184+V194</f>
        <v>0</v>
      </c>
      <c r="W24" s="366">
        <f>W44+W54+W64+W74+W84+W94+W104+W114+W124+W134+W144+W154+W163+W174+W184</f>
        <v>0</v>
      </c>
      <c r="X24" s="366">
        <f>X44+X54+X64+X74+X84+X94+X104+X114+X124+X134+X144+X154+X163+X174+X184</f>
        <v>0</v>
      </c>
    </row>
    <row r="25" spans="2:24">
      <c r="C25" s="691"/>
      <c r="D25" s="691"/>
      <c r="E25" s="691"/>
      <c r="F25" s="691"/>
      <c r="G25" s="691"/>
      <c r="H25" s="691"/>
      <c r="I25" s="691"/>
      <c r="J25" s="691"/>
      <c r="K25" s="691"/>
      <c r="L25" s="691"/>
      <c r="M25" s="691"/>
      <c r="N25" s="691"/>
      <c r="O25" s="691"/>
      <c r="P25" s="691"/>
      <c r="Q25" s="691"/>
      <c r="R25" s="691"/>
      <c r="S25" s="691"/>
      <c r="T25" s="691"/>
      <c r="U25" s="691"/>
      <c r="V25" s="691"/>
      <c r="W25" s="691"/>
      <c r="X25" s="691"/>
    </row>
    <row r="26" spans="2:24" s="109" customFormat="1" ht="33" customHeight="1">
      <c r="B26" s="642" t="s">
        <v>118</v>
      </c>
      <c r="C26" s="642"/>
      <c r="D26" s="109">
        <f>D40+D50+D60+D70+D80+D90+D100+D110+D120+D130+D140+D150+D160+D170+D180+D190</f>
        <v>1044</v>
      </c>
      <c r="E26" s="109">
        <f t="shared" ref="E26:X26" si="14">E40+E50+E60+E70+E80+E90+E100+E110+E120+E130+E140+E150+E160+E170+E180+E190</f>
        <v>1062.5</v>
      </c>
      <c r="F26" s="109">
        <f t="shared" si="14"/>
        <v>1057</v>
      </c>
      <c r="G26" s="109">
        <f t="shared" si="14"/>
        <v>1033.5</v>
      </c>
      <c r="H26" s="109">
        <f t="shared" si="14"/>
        <v>1052.5</v>
      </c>
      <c r="I26" s="109">
        <f t="shared" si="14"/>
        <v>1038.4000000000001</v>
      </c>
      <c r="J26" s="109">
        <f t="shared" si="14"/>
        <v>781789.19000000006</v>
      </c>
      <c r="K26" s="109">
        <f t="shared" si="14"/>
        <v>793104.95</v>
      </c>
      <c r="L26" s="109">
        <f t="shared" si="14"/>
        <v>558195.03</v>
      </c>
      <c r="M26" s="109">
        <f ca="1">M40+M50+M60+M70+M80+M90+M100+M110+M120+M130+M140+M150+M160+M170+M180+M190</f>
        <v>535636.24000000022</v>
      </c>
      <c r="N26" s="109">
        <f>N40+N50+N60+N70+N80+N90+N100+N110+N120+N130+N140+N150+N160+N170+N180+N190</f>
        <v>540743.05000000016</v>
      </c>
      <c r="O26" s="109">
        <f t="shared" si="14"/>
        <v>389450.38</v>
      </c>
      <c r="P26" s="109">
        <f t="shared" ca="1" si="14"/>
        <v>479111.64</v>
      </c>
      <c r="Q26" s="109">
        <f t="shared" si="14"/>
        <v>478830.97</v>
      </c>
      <c r="R26" s="109">
        <f t="shared" si="14"/>
        <v>338985.13000000006</v>
      </c>
      <c r="S26" s="109">
        <f t="shared" si="14"/>
        <v>56524.6</v>
      </c>
      <c r="T26" s="109">
        <f t="shared" si="14"/>
        <v>61912.079999999994</v>
      </c>
      <c r="U26" s="109">
        <f t="shared" si="14"/>
        <v>50465.25</v>
      </c>
      <c r="V26" s="109">
        <f t="shared" si="14"/>
        <v>0</v>
      </c>
      <c r="W26" s="109">
        <f t="shared" si="14"/>
        <v>0</v>
      </c>
      <c r="X26" s="109">
        <f t="shared" si="14"/>
        <v>0</v>
      </c>
    </row>
    <row r="27" spans="2:24">
      <c r="B27" s="642"/>
      <c r="C27" s="642"/>
      <c r="F27" s="34"/>
      <c r="G27" s="34"/>
      <c r="H27" s="34"/>
      <c r="I27" s="34"/>
      <c r="J27" s="34"/>
      <c r="K27" s="34"/>
      <c r="L27" s="34"/>
    </row>
    <row r="28" spans="2:24" s="107" customFormat="1" ht="19.5">
      <c r="B28" s="642"/>
      <c r="C28" s="642"/>
      <c r="D28" s="108">
        <f>D20-D26</f>
        <v>0</v>
      </c>
      <c r="E28" s="108">
        <f t="shared" ref="E28:X28" si="15">E20-E26</f>
        <v>0</v>
      </c>
      <c r="F28" s="108">
        <f t="shared" si="15"/>
        <v>0</v>
      </c>
      <c r="G28" s="108">
        <f t="shared" si="15"/>
        <v>0</v>
      </c>
      <c r="H28" s="108">
        <f t="shared" si="15"/>
        <v>0</v>
      </c>
      <c r="I28" s="108">
        <f t="shared" si="15"/>
        <v>0</v>
      </c>
      <c r="J28" s="108">
        <f t="shared" si="15"/>
        <v>0</v>
      </c>
      <c r="K28" s="108">
        <f t="shared" si="15"/>
        <v>0</v>
      </c>
      <c r="L28" s="108">
        <f t="shared" si="15"/>
        <v>0</v>
      </c>
      <c r="M28" s="108">
        <f ca="1">M20-M26</f>
        <v>0</v>
      </c>
      <c r="N28" s="108">
        <f>N20-N26</f>
        <v>0</v>
      </c>
      <c r="O28" s="108">
        <f>O20-O26</f>
        <v>0</v>
      </c>
      <c r="P28" s="108">
        <f t="shared" ca="1" si="15"/>
        <v>0</v>
      </c>
      <c r="Q28" s="108">
        <f t="shared" si="15"/>
        <v>0</v>
      </c>
      <c r="R28" s="108">
        <f t="shared" si="15"/>
        <v>0</v>
      </c>
      <c r="S28" s="108">
        <f t="shared" si="15"/>
        <v>0</v>
      </c>
      <c r="T28" s="108">
        <f t="shared" si="15"/>
        <v>0</v>
      </c>
      <c r="U28" s="108">
        <f t="shared" si="15"/>
        <v>0</v>
      </c>
      <c r="V28" s="108">
        <f t="shared" si="15"/>
        <v>0</v>
      </c>
      <c r="W28" s="108">
        <f t="shared" si="15"/>
        <v>0</v>
      </c>
      <c r="X28" s="108">
        <f t="shared" si="15"/>
        <v>0</v>
      </c>
    </row>
    <row r="29" spans="2:24">
      <c r="B29" s="642"/>
      <c r="C29" s="642"/>
    </row>
    <row r="30" spans="2:24">
      <c r="B30" s="642"/>
      <c r="C30" s="642"/>
    </row>
    <row r="31" spans="2:24">
      <c r="B31" s="642"/>
      <c r="C31" s="642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>
        <f t="shared" ref="W31:X31" si="16">W20-W110</f>
        <v>0</v>
      </c>
      <c r="X31" s="141">
        <f t="shared" si="16"/>
        <v>0</v>
      </c>
    </row>
    <row r="32" spans="2:24">
      <c r="B32" s="642"/>
      <c r="C32" s="642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>
        <f t="shared" ref="W32:X32" si="17">W21-W111</f>
        <v>0</v>
      </c>
      <c r="X32" s="141">
        <f t="shared" si="17"/>
        <v>0</v>
      </c>
    </row>
    <row r="33" spans="2:24">
      <c r="B33" s="642"/>
      <c r="C33" s="642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>
        <f t="shared" ref="W33:X33" si="18">W22-W112</f>
        <v>0</v>
      </c>
      <c r="X33" s="141">
        <f t="shared" si="18"/>
        <v>0</v>
      </c>
    </row>
    <row r="34" spans="2:24"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>
        <f t="shared" ref="W34:X34" si="19">W23-W113</f>
        <v>0</v>
      </c>
      <c r="X34" s="141">
        <f t="shared" si="19"/>
        <v>0</v>
      </c>
    </row>
    <row r="35" spans="2:24" ht="26.25" thickBot="1">
      <c r="B35" s="445">
        <v>600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>
        <f t="shared" ref="W35:X35" si="20">W24-W114</f>
        <v>0</v>
      </c>
      <c r="X35" s="141">
        <f t="shared" si="20"/>
        <v>0</v>
      </c>
    </row>
    <row r="36" spans="2:24">
      <c r="B36" s="663"/>
      <c r="C36" s="666" t="s">
        <v>0</v>
      </c>
      <c r="D36" s="669" t="s">
        <v>38</v>
      </c>
      <c r="E36" s="670"/>
      <c r="F36" s="669" t="s">
        <v>39</v>
      </c>
      <c r="G36" s="670"/>
      <c r="H36" s="669" t="s">
        <v>37</v>
      </c>
      <c r="I36" s="670"/>
      <c r="J36" s="669" t="s">
        <v>74</v>
      </c>
      <c r="K36" s="670"/>
      <c r="L36" s="673"/>
      <c r="M36" s="669" t="s">
        <v>36</v>
      </c>
      <c r="N36" s="670"/>
      <c r="O36" s="673"/>
      <c r="P36" s="666" t="s">
        <v>32</v>
      </c>
      <c r="Q36" s="666"/>
      <c r="R36" s="666"/>
      <c r="S36" s="666"/>
      <c r="T36" s="666"/>
      <c r="U36" s="666"/>
      <c r="V36" s="666"/>
      <c r="W36" s="677"/>
      <c r="X36" s="678"/>
    </row>
    <row r="37" spans="2:24">
      <c r="B37" s="664"/>
      <c r="C37" s="667"/>
      <c r="D37" s="671"/>
      <c r="E37" s="672"/>
      <c r="F37" s="671"/>
      <c r="G37" s="672"/>
      <c r="H37" s="671"/>
      <c r="I37" s="672"/>
      <c r="J37" s="674"/>
      <c r="K37" s="675"/>
      <c r="L37" s="676"/>
      <c r="M37" s="674"/>
      <c r="N37" s="675"/>
      <c r="O37" s="676"/>
      <c r="P37" s="667" t="s">
        <v>53</v>
      </c>
      <c r="Q37" s="667"/>
      <c r="R37" s="667"/>
      <c r="S37" s="667" t="s">
        <v>54</v>
      </c>
      <c r="T37" s="667"/>
      <c r="U37" s="667"/>
      <c r="V37" s="667" t="s">
        <v>55</v>
      </c>
      <c r="W37" s="667"/>
      <c r="X37" s="679"/>
    </row>
    <row r="38" spans="2:24" ht="79.5" thickBot="1">
      <c r="B38" s="665"/>
      <c r="C38" s="668"/>
      <c r="D38" s="139" t="s">
        <v>116</v>
      </c>
      <c r="E38" s="112" t="s">
        <v>14</v>
      </c>
      <c r="F38" s="139" t="s">
        <v>116</v>
      </c>
      <c r="G38" s="112" t="s">
        <v>14</v>
      </c>
      <c r="H38" s="139" t="s">
        <v>116</v>
      </c>
      <c r="I38" s="112" t="s">
        <v>14</v>
      </c>
      <c r="J38" s="112" t="s">
        <v>108</v>
      </c>
      <c r="K38" s="112" t="s">
        <v>19</v>
      </c>
      <c r="L38" s="112" t="s">
        <v>31</v>
      </c>
      <c r="M38" s="112" t="s">
        <v>108</v>
      </c>
      <c r="N38" s="112" t="s">
        <v>19</v>
      </c>
      <c r="O38" s="112" t="s">
        <v>31</v>
      </c>
      <c r="P38" s="140" t="s">
        <v>110</v>
      </c>
      <c r="Q38" s="112" t="s">
        <v>19</v>
      </c>
      <c r="R38" s="112" t="s">
        <v>31</v>
      </c>
      <c r="S38" s="140" t="s">
        <v>110</v>
      </c>
      <c r="T38" s="112" t="s">
        <v>19</v>
      </c>
      <c r="U38" s="112" t="s">
        <v>31</v>
      </c>
      <c r="V38" s="140" t="s">
        <v>110</v>
      </c>
      <c r="W38" s="112" t="s">
        <v>19</v>
      </c>
      <c r="X38" s="113" t="s">
        <v>31</v>
      </c>
    </row>
    <row r="39" spans="2:24" ht="16.5" thickBot="1">
      <c r="B39" s="438">
        <v>1</v>
      </c>
      <c r="C39" s="114">
        <v>2</v>
      </c>
      <c r="D39" s="114">
        <v>3</v>
      </c>
      <c r="E39" s="115">
        <v>4</v>
      </c>
      <c r="F39" s="114">
        <v>5</v>
      </c>
      <c r="G39" s="114">
        <v>6</v>
      </c>
      <c r="H39" s="115">
        <v>7</v>
      </c>
      <c r="I39" s="114">
        <v>8</v>
      </c>
      <c r="J39" s="114">
        <v>9</v>
      </c>
      <c r="K39" s="115">
        <v>10</v>
      </c>
      <c r="L39" s="114">
        <v>11</v>
      </c>
      <c r="M39" s="114">
        <v>12</v>
      </c>
      <c r="N39" s="115">
        <v>13</v>
      </c>
      <c r="O39" s="114">
        <v>14</v>
      </c>
      <c r="P39" s="114">
        <v>15</v>
      </c>
      <c r="Q39" s="115">
        <v>16</v>
      </c>
      <c r="R39" s="114">
        <v>17</v>
      </c>
      <c r="S39" s="114">
        <v>18</v>
      </c>
      <c r="T39" s="115">
        <v>19</v>
      </c>
      <c r="U39" s="114">
        <v>20</v>
      </c>
      <c r="V39" s="114">
        <v>21</v>
      </c>
      <c r="W39" s="115">
        <v>22</v>
      </c>
      <c r="X39" s="116">
        <v>23</v>
      </c>
    </row>
    <row r="40" spans="2:24" ht="31.5">
      <c r="B40" s="439" t="s">
        <v>1</v>
      </c>
      <c r="C40" s="117" t="s">
        <v>56</v>
      </c>
      <c r="D40" s="118">
        <f t="shared" ref="D40:I40" si="21">D41+D42+D43+D44</f>
        <v>68</v>
      </c>
      <c r="E40" s="118">
        <f t="shared" ref="E40" si="22">E41+E42+E43+E44</f>
        <v>60</v>
      </c>
      <c r="F40" s="118">
        <f t="shared" si="21"/>
        <v>61</v>
      </c>
      <c r="G40" s="118">
        <f t="shared" si="21"/>
        <v>57</v>
      </c>
      <c r="H40" s="118">
        <f t="shared" si="21"/>
        <v>61</v>
      </c>
      <c r="I40" s="118">
        <f t="shared" si="21"/>
        <v>57</v>
      </c>
      <c r="J40" s="119">
        <v>57309.29</v>
      </c>
      <c r="K40" s="119">
        <v>56942.46</v>
      </c>
      <c r="L40" s="119">
        <v>40735.72</v>
      </c>
      <c r="M40" s="119">
        <f t="shared" ref="M40:X40" si="23">M41+M42+M43+M44</f>
        <v>35859.78</v>
      </c>
      <c r="N40" s="119">
        <f t="shared" si="23"/>
        <v>35486.53</v>
      </c>
      <c r="O40" s="119">
        <f t="shared" si="23"/>
        <v>26502.9</v>
      </c>
      <c r="P40" s="119">
        <f>P41+P42+P43+P44</f>
        <v>35859.78</v>
      </c>
      <c r="Q40" s="119">
        <f t="shared" ref="Q40:R40" si="24">Q41+Q42+Q43+Q44</f>
        <v>35486.53</v>
      </c>
      <c r="R40" s="119">
        <f t="shared" si="24"/>
        <v>26502.9</v>
      </c>
      <c r="S40" s="118">
        <f t="shared" si="23"/>
        <v>0</v>
      </c>
      <c r="T40" s="120">
        <f t="shared" si="23"/>
        <v>0</v>
      </c>
      <c r="U40" s="118">
        <f t="shared" si="23"/>
        <v>0</v>
      </c>
      <c r="V40" s="118">
        <f t="shared" si="23"/>
        <v>0</v>
      </c>
      <c r="W40" s="118">
        <f t="shared" si="23"/>
        <v>0</v>
      </c>
      <c r="X40" s="121">
        <f t="shared" si="23"/>
        <v>0</v>
      </c>
    </row>
    <row r="41" spans="2:24" ht="31.5">
      <c r="B41" s="440" t="s">
        <v>20</v>
      </c>
      <c r="C41" s="122" t="s">
        <v>57</v>
      </c>
      <c r="D41" s="123">
        <v>3</v>
      </c>
      <c r="E41" s="123">
        <v>3</v>
      </c>
      <c r="F41" s="123">
        <v>3</v>
      </c>
      <c r="G41" s="123">
        <v>3</v>
      </c>
      <c r="H41" s="123">
        <v>3</v>
      </c>
      <c r="I41" s="123">
        <v>3</v>
      </c>
      <c r="J41" s="124" t="s">
        <v>46</v>
      </c>
      <c r="K41" s="124" t="s">
        <v>46</v>
      </c>
      <c r="L41" s="124" t="s">
        <v>46</v>
      </c>
      <c r="M41" s="125">
        <f>P41</f>
        <v>3773.73</v>
      </c>
      <c r="N41" s="125">
        <f>Q41</f>
        <v>4447.7299999999996</v>
      </c>
      <c r="O41" s="125">
        <f>R41</f>
        <v>3491.35</v>
      </c>
      <c r="P41" s="125">
        <v>3773.73</v>
      </c>
      <c r="Q41" s="125">
        <v>4447.7299999999996</v>
      </c>
      <c r="R41" s="125">
        <v>3491.35</v>
      </c>
      <c r="S41" s="123"/>
      <c r="T41" s="123">
        <v>0</v>
      </c>
      <c r="U41" s="126">
        <v>0</v>
      </c>
      <c r="V41" s="123"/>
      <c r="W41" s="123"/>
      <c r="X41" s="127"/>
    </row>
    <row r="42" spans="2:24" ht="18.75">
      <c r="B42" s="440" t="s">
        <v>21</v>
      </c>
      <c r="C42" s="122" t="s">
        <v>58</v>
      </c>
      <c r="D42" s="123">
        <v>55</v>
      </c>
      <c r="E42" s="123">
        <v>48</v>
      </c>
      <c r="F42" s="123">
        <v>49</v>
      </c>
      <c r="G42" s="123">
        <v>46</v>
      </c>
      <c r="H42" s="123">
        <v>49</v>
      </c>
      <c r="I42" s="123">
        <v>46</v>
      </c>
      <c r="J42" s="124" t="s">
        <v>46</v>
      </c>
      <c r="K42" s="124" t="s">
        <v>46</v>
      </c>
      <c r="L42" s="124" t="s">
        <v>46</v>
      </c>
      <c r="M42" s="125">
        <f t="shared" ref="M42:M44" si="25">P42</f>
        <v>29812.68</v>
      </c>
      <c r="N42" s="125">
        <f t="shared" ref="N42:N44" si="26">Q42</f>
        <v>29047.18</v>
      </c>
      <c r="O42" s="125">
        <f t="shared" ref="O42:O44" si="27">R42</f>
        <v>21730.43</v>
      </c>
      <c r="P42" s="125">
        <v>29812.68</v>
      </c>
      <c r="Q42" s="125">
        <v>29047.18</v>
      </c>
      <c r="R42" s="125">
        <v>21730.43</v>
      </c>
      <c r="S42" s="123"/>
      <c r="T42" s="123">
        <v>0</v>
      </c>
      <c r="U42" s="123">
        <v>0</v>
      </c>
      <c r="V42" s="123"/>
      <c r="W42" s="128"/>
      <c r="X42" s="129"/>
    </row>
    <row r="43" spans="2:24" ht="59.25" customHeight="1">
      <c r="B43" s="440" t="s">
        <v>22</v>
      </c>
      <c r="C43" s="122" t="s">
        <v>59</v>
      </c>
      <c r="D43" s="123">
        <v>2</v>
      </c>
      <c r="E43" s="123">
        <v>1</v>
      </c>
      <c r="F43" s="123">
        <v>1</v>
      </c>
      <c r="G43" s="123">
        <v>1</v>
      </c>
      <c r="H43" s="123">
        <v>1</v>
      </c>
      <c r="I43" s="123">
        <v>1</v>
      </c>
      <c r="J43" s="124" t="s">
        <v>46</v>
      </c>
      <c r="K43" s="124" t="s">
        <v>46</v>
      </c>
      <c r="L43" s="124" t="s">
        <v>46</v>
      </c>
      <c r="M43" s="125">
        <f t="shared" si="25"/>
        <v>685.56</v>
      </c>
      <c r="N43" s="125">
        <f t="shared" si="26"/>
        <v>383.06</v>
      </c>
      <c r="O43" s="125">
        <f t="shared" si="27"/>
        <v>132.44999999999999</v>
      </c>
      <c r="P43" s="125">
        <v>685.56</v>
      </c>
      <c r="Q43" s="125">
        <v>383.06</v>
      </c>
      <c r="R43" s="125">
        <v>132.44999999999999</v>
      </c>
      <c r="S43" s="123"/>
      <c r="T43" s="123">
        <v>0</v>
      </c>
      <c r="U43" s="123">
        <v>0</v>
      </c>
      <c r="V43" s="123"/>
      <c r="W43" s="128"/>
      <c r="X43" s="129"/>
    </row>
    <row r="44" spans="2:24" ht="48" thickBot="1">
      <c r="B44" s="441" t="s">
        <v>23</v>
      </c>
      <c r="C44" s="122" t="s">
        <v>85</v>
      </c>
      <c r="D44" s="130">
        <v>8</v>
      </c>
      <c r="E44" s="130">
        <v>8</v>
      </c>
      <c r="F44" s="130">
        <v>8</v>
      </c>
      <c r="G44" s="130">
        <v>7</v>
      </c>
      <c r="H44" s="130">
        <v>8</v>
      </c>
      <c r="I44" s="130">
        <v>7</v>
      </c>
      <c r="J44" s="131" t="s">
        <v>46</v>
      </c>
      <c r="K44" s="131" t="s">
        <v>46</v>
      </c>
      <c r="L44" s="131" t="s">
        <v>46</v>
      </c>
      <c r="M44" s="125">
        <f t="shared" si="25"/>
        <v>1587.81</v>
      </c>
      <c r="N44" s="125">
        <f t="shared" si="26"/>
        <v>1608.56</v>
      </c>
      <c r="O44" s="125">
        <f t="shared" si="27"/>
        <v>1148.67</v>
      </c>
      <c r="P44" s="125">
        <v>1587.81</v>
      </c>
      <c r="Q44" s="125">
        <v>1608.56</v>
      </c>
      <c r="R44" s="125">
        <v>1148.67</v>
      </c>
      <c r="S44" s="130"/>
      <c r="T44" s="130">
        <v>0</v>
      </c>
      <c r="U44" s="130">
        <v>0</v>
      </c>
      <c r="V44" s="130"/>
      <c r="W44" s="132"/>
      <c r="X44" s="133"/>
    </row>
    <row r="45" spans="2:24" ht="23.25" thickBot="1">
      <c r="B45" s="469">
        <v>601</v>
      </c>
    </row>
    <row r="46" spans="2:24">
      <c r="B46" s="643"/>
      <c r="C46" s="646" t="s">
        <v>0</v>
      </c>
      <c r="D46" s="649" t="s">
        <v>38</v>
      </c>
      <c r="E46" s="650"/>
      <c r="F46" s="649" t="s">
        <v>39</v>
      </c>
      <c r="G46" s="650"/>
      <c r="H46" s="649" t="s">
        <v>37</v>
      </c>
      <c r="I46" s="650"/>
      <c r="J46" s="649" t="s">
        <v>74</v>
      </c>
      <c r="K46" s="650"/>
      <c r="L46" s="653"/>
      <c r="M46" s="649" t="s">
        <v>36</v>
      </c>
      <c r="N46" s="650"/>
      <c r="O46" s="653"/>
      <c r="P46" s="646" t="s">
        <v>32</v>
      </c>
      <c r="Q46" s="646"/>
      <c r="R46" s="646"/>
      <c r="S46" s="646"/>
      <c r="T46" s="646"/>
      <c r="U46" s="646"/>
      <c r="V46" s="646"/>
      <c r="W46" s="657"/>
      <c r="X46" s="658"/>
    </row>
    <row r="47" spans="2:24">
      <c r="B47" s="644"/>
      <c r="C47" s="647"/>
      <c r="D47" s="651"/>
      <c r="E47" s="652"/>
      <c r="F47" s="651"/>
      <c r="G47" s="652"/>
      <c r="H47" s="651"/>
      <c r="I47" s="652"/>
      <c r="J47" s="654"/>
      <c r="K47" s="655"/>
      <c r="L47" s="656"/>
      <c r="M47" s="654"/>
      <c r="N47" s="655"/>
      <c r="O47" s="656"/>
      <c r="P47" s="647" t="s">
        <v>53</v>
      </c>
      <c r="Q47" s="647"/>
      <c r="R47" s="647"/>
      <c r="S47" s="647" t="s">
        <v>54</v>
      </c>
      <c r="T47" s="647"/>
      <c r="U47" s="647"/>
      <c r="V47" s="647" t="s">
        <v>55</v>
      </c>
      <c r="W47" s="647"/>
      <c r="X47" s="659"/>
    </row>
    <row r="48" spans="2:24" ht="79.5" thickBot="1">
      <c r="B48" s="645"/>
      <c r="C48" s="648"/>
      <c r="D48" s="63" t="s">
        <v>106</v>
      </c>
      <c r="E48" s="63" t="s">
        <v>14</v>
      </c>
      <c r="F48" s="63" t="s">
        <v>107</v>
      </c>
      <c r="G48" s="63" t="s">
        <v>14</v>
      </c>
      <c r="H48" s="63" t="s">
        <v>107</v>
      </c>
      <c r="I48" s="63" t="s">
        <v>14</v>
      </c>
      <c r="J48" s="63" t="s">
        <v>108</v>
      </c>
      <c r="K48" s="63" t="s">
        <v>19</v>
      </c>
      <c r="L48" s="63" t="s">
        <v>31</v>
      </c>
      <c r="M48" s="63" t="s">
        <v>108</v>
      </c>
      <c r="N48" s="63" t="s">
        <v>19</v>
      </c>
      <c r="O48" s="63" t="s">
        <v>31</v>
      </c>
      <c r="P48" s="63" t="s">
        <v>108</v>
      </c>
      <c r="Q48" s="63" t="s">
        <v>19</v>
      </c>
      <c r="R48" s="63" t="s">
        <v>31</v>
      </c>
      <c r="S48" s="63" t="s">
        <v>108</v>
      </c>
      <c r="T48" s="63" t="s">
        <v>19</v>
      </c>
      <c r="U48" s="63" t="s">
        <v>31</v>
      </c>
      <c r="V48" s="63" t="s">
        <v>108</v>
      </c>
      <c r="W48" s="63" t="s">
        <v>19</v>
      </c>
      <c r="X48" s="36" t="s">
        <v>31</v>
      </c>
    </row>
    <row r="49" spans="2:24" ht="16.5" thickBot="1">
      <c r="B49" s="357">
        <v>1</v>
      </c>
      <c r="C49" s="37">
        <v>2</v>
      </c>
      <c r="D49" s="37">
        <v>3</v>
      </c>
      <c r="E49" s="38">
        <v>4</v>
      </c>
      <c r="F49" s="37">
        <v>5</v>
      </c>
      <c r="G49" s="37">
        <v>6</v>
      </c>
      <c r="H49" s="38">
        <v>7</v>
      </c>
      <c r="I49" s="37">
        <v>8</v>
      </c>
      <c r="J49" s="37">
        <v>9</v>
      </c>
      <c r="K49" s="38">
        <v>10</v>
      </c>
      <c r="L49" s="37">
        <v>11</v>
      </c>
      <c r="M49" s="37">
        <v>12</v>
      </c>
      <c r="N49" s="38">
        <v>13</v>
      </c>
      <c r="O49" s="37">
        <v>14</v>
      </c>
      <c r="P49" s="37">
        <v>15</v>
      </c>
      <c r="Q49" s="38">
        <v>16</v>
      </c>
      <c r="R49" s="37">
        <v>17</v>
      </c>
      <c r="S49" s="37">
        <v>18</v>
      </c>
      <c r="T49" s="38">
        <v>19</v>
      </c>
      <c r="U49" s="37">
        <v>20</v>
      </c>
      <c r="V49" s="37">
        <v>21</v>
      </c>
      <c r="W49" s="38">
        <v>22</v>
      </c>
      <c r="X49" s="39">
        <v>23</v>
      </c>
    </row>
    <row r="50" spans="2:24" ht="31.5">
      <c r="B50" s="358" t="s">
        <v>1</v>
      </c>
      <c r="C50" s="40" t="s">
        <v>56</v>
      </c>
      <c r="D50" s="191">
        <f t="shared" ref="D50:X50" si="28">D51+D52+D53+D54</f>
        <v>161</v>
      </c>
      <c r="E50" s="191">
        <f t="shared" si="28"/>
        <v>143</v>
      </c>
      <c r="F50" s="191">
        <f>F51+F52+F53+F54</f>
        <v>156</v>
      </c>
      <c r="G50" s="191">
        <f t="shared" si="28"/>
        <v>141</v>
      </c>
      <c r="H50" s="191">
        <f>H51+H52+H53+H54</f>
        <v>153</v>
      </c>
      <c r="I50" s="191">
        <f t="shared" si="28"/>
        <v>140.4</v>
      </c>
      <c r="J50" s="226">
        <v>135250.32</v>
      </c>
      <c r="K50" s="556">
        <v>126279.73</v>
      </c>
      <c r="L50" s="556">
        <v>90367.79</v>
      </c>
      <c r="M50" s="418">
        <f t="shared" ref="M50:O53" si="29">P50+S50</f>
        <v>93834.96</v>
      </c>
      <c r="N50" s="557">
        <f t="shared" si="29"/>
        <v>87939.48</v>
      </c>
      <c r="O50" s="557">
        <f t="shared" si="29"/>
        <v>63632.27</v>
      </c>
      <c r="P50" s="226">
        <f t="shared" ref="P50:U50" si="30">P51+P52+P53+P54</f>
        <v>93092.6</v>
      </c>
      <c r="Q50" s="226">
        <f t="shared" si="30"/>
        <v>86140.19</v>
      </c>
      <c r="R50" s="226">
        <f t="shared" si="30"/>
        <v>62067.57</v>
      </c>
      <c r="S50" s="226">
        <f>S51+S52+S53+S54</f>
        <v>742.36</v>
      </c>
      <c r="T50" s="558">
        <f t="shared" si="30"/>
        <v>1799.2900000000002</v>
      </c>
      <c r="U50" s="558">
        <f t="shared" si="30"/>
        <v>1564.7000000000003</v>
      </c>
      <c r="V50" s="448">
        <f t="shared" si="28"/>
        <v>0</v>
      </c>
      <c r="W50" s="448">
        <f t="shared" si="28"/>
        <v>0</v>
      </c>
      <c r="X50" s="449">
        <f t="shared" si="28"/>
        <v>0</v>
      </c>
    </row>
    <row r="51" spans="2:24" ht="31.5">
      <c r="B51" s="359" t="s">
        <v>20</v>
      </c>
      <c r="C51" s="42" t="s">
        <v>57</v>
      </c>
      <c r="D51" s="450">
        <v>1</v>
      </c>
      <c r="E51" s="450">
        <v>1</v>
      </c>
      <c r="F51" s="450">
        <v>1</v>
      </c>
      <c r="G51" s="450">
        <v>1</v>
      </c>
      <c r="H51" s="450">
        <v>1</v>
      </c>
      <c r="I51" s="450">
        <v>1</v>
      </c>
      <c r="J51" s="521" t="s">
        <v>46</v>
      </c>
      <c r="K51" s="521" t="s">
        <v>46</v>
      </c>
      <c r="L51" s="521" t="s">
        <v>46</v>
      </c>
      <c r="M51" s="418">
        <f t="shared" si="29"/>
        <v>1497.85</v>
      </c>
      <c r="N51" s="557">
        <f t="shared" si="29"/>
        <v>1510.02</v>
      </c>
      <c r="O51" s="557">
        <f t="shared" si="29"/>
        <v>1051.29</v>
      </c>
      <c r="P51" s="418">
        <v>1497.85</v>
      </c>
      <c r="Q51" s="418">
        <v>1497.85</v>
      </c>
      <c r="R51" s="418">
        <v>1039.1199999999999</v>
      </c>
      <c r="S51" s="418"/>
      <c r="T51" s="557">
        <v>12.17</v>
      </c>
      <c r="U51" s="557">
        <v>12.17</v>
      </c>
      <c r="V51" s="451"/>
      <c r="W51" s="451"/>
      <c r="X51" s="452"/>
    </row>
    <row r="52" spans="2:24" ht="20.25">
      <c r="B52" s="359" t="s">
        <v>21</v>
      </c>
      <c r="C52" s="42" t="s">
        <v>58</v>
      </c>
      <c r="D52" s="450">
        <v>156</v>
      </c>
      <c r="E52" s="450">
        <v>138</v>
      </c>
      <c r="F52" s="450">
        <v>151</v>
      </c>
      <c r="G52" s="450">
        <f>133+5</f>
        <v>138</v>
      </c>
      <c r="H52" s="450">
        <v>148</v>
      </c>
      <c r="I52" s="450">
        <v>135.4</v>
      </c>
      <c r="J52" s="521" t="s">
        <v>46</v>
      </c>
      <c r="K52" s="521" t="s">
        <v>46</v>
      </c>
      <c r="L52" s="521" t="s">
        <v>46</v>
      </c>
      <c r="M52" s="418">
        <f t="shared" si="29"/>
        <v>90358.12</v>
      </c>
      <c r="N52" s="557">
        <f t="shared" si="29"/>
        <v>84447.16</v>
      </c>
      <c r="O52" s="557">
        <f t="shared" si="29"/>
        <v>61260.32</v>
      </c>
      <c r="P52" s="418">
        <v>89615.76</v>
      </c>
      <c r="Q52" s="418">
        <v>82685.42</v>
      </c>
      <c r="R52" s="418">
        <v>59733.17</v>
      </c>
      <c r="S52" s="418">
        <f>742.36</f>
        <v>742.36</v>
      </c>
      <c r="T52" s="557">
        <f>742.37+1019.37</f>
        <v>1761.74</v>
      </c>
      <c r="U52" s="557">
        <f>507.78+1019.37</f>
        <v>1527.15</v>
      </c>
      <c r="V52" s="451"/>
      <c r="W52" s="453"/>
      <c r="X52" s="454"/>
    </row>
    <row r="53" spans="2:24" ht="62.25" customHeight="1">
      <c r="B53" s="359" t="s">
        <v>22</v>
      </c>
      <c r="C53" s="42" t="s">
        <v>59</v>
      </c>
      <c r="D53" s="450">
        <v>4</v>
      </c>
      <c r="E53" s="450">
        <v>4</v>
      </c>
      <c r="F53" s="450">
        <v>4</v>
      </c>
      <c r="G53" s="450">
        <f>4-2</f>
        <v>2</v>
      </c>
      <c r="H53" s="450">
        <v>4</v>
      </c>
      <c r="I53" s="450">
        <v>4</v>
      </c>
      <c r="J53" s="521" t="s">
        <v>46</v>
      </c>
      <c r="K53" s="521" t="s">
        <v>46</v>
      </c>
      <c r="L53" s="521" t="s">
        <v>46</v>
      </c>
      <c r="M53" s="418">
        <f t="shared" si="29"/>
        <v>1978.99</v>
      </c>
      <c r="N53" s="557">
        <f t="shared" si="29"/>
        <v>1982.3000000000002</v>
      </c>
      <c r="O53" s="557">
        <f t="shared" si="29"/>
        <v>1320.66</v>
      </c>
      <c r="P53" s="418">
        <v>1978.99</v>
      </c>
      <c r="Q53" s="418">
        <v>1956.92</v>
      </c>
      <c r="R53" s="418">
        <v>1295.28</v>
      </c>
      <c r="S53" s="418"/>
      <c r="T53" s="557">
        <v>25.38</v>
      </c>
      <c r="U53" s="557">
        <v>25.38</v>
      </c>
      <c r="V53" s="451"/>
      <c r="W53" s="453"/>
      <c r="X53" s="454"/>
    </row>
    <row r="54" spans="2:24" ht="48" thickBot="1">
      <c r="B54" s="442" t="s">
        <v>23</v>
      </c>
      <c r="C54" s="42" t="s">
        <v>85</v>
      </c>
      <c r="D54" s="166"/>
      <c r="E54" s="166"/>
      <c r="F54" s="166"/>
      <c r="G54" s="166"/>
      <c r="H54" s="166"/>
      <c r="I54" s="166"/>
      <c r="J54" s="559" t="s">
        <v>46</v>
      </c>
      <c r="K54" s="559" t="s">
        <v>46</v>
      </c>
      <c r="L54" s="559" t="s">
        <v>46</v>
      </c>
      <c r="M54" s="560">
        <f>P54+S54+V54</f>
        <v>0</v>
      </c>
      <c r="N54" s="560">
        <f>Q54+T54+W54</f>
        <v>0</v>
      </c>
      <c r="O54" s="560">
        <f>R54+U54+X54</f>
        <v>0</v>
      </c>
      <c r="P54" s="560"/>
      <c r="Q54" s="560"/>
      <c r="R54" s="560"/>
      <c r="S54" s="560"/>
      <c r="T54" s="560"/>
      <c r="U54" s="560"/>
      <c r="V54" s="455"/>
      <c r="W54" s="456"/>
      <c r="X54" s="457"/>
    </row>
    <row r="55" spans="2:24" ht="26.25" thickBot="1">
      <c r="B55" s="220">
        <v>602</v>
      </c>
    </row>
    <row r="56" spans="2:24">
      <c r="B56" s="643"/>
      <c r="C56" s="646" t="s">
        <v>0</v>
      </c>
      <c r="D56" s="649" t="s">
        <v>38</v>
      </c>
      <c r="E56" s="650"/>
      <c r="F56" s="649" t="s">
        <v>39</v>
      </c>
      <c r="G56" s="650"/>
      <c r="H56" s="649" t="s">
        <v>37</v>
      </c>
      <c r="I56" s="650"/>
      <c r="J56" s="649" t="s">
        <v>74</v>
      </c>
      <c r="K56" s="650"/>
      <c r="L56" s="653"/>
      <c r="M56" s="649" t="s">
        <v>36</v>
      </c>
      <c r="N56" s="650"/>
      <c r="O56" s="653"/>
      <c r="P56" s="646" t="s">
        <v>32</v>
      </c>
      <c r="Q56" s="646"/>
      <c r="R56" s="646"/>
      <c r="S56" s="646"/>
      <c r="T56" s="646"/>
      <c r="U56" s="646"/>
      <c r="V56" s="646"/>
      <c r="W56" s="657"/>
      <c r="X56" s="658"/>
    </row>
    <row r="57" spans="2:24">
      <c r="B57" s="644"/>
      <c r="C57" s="647"/>
      <c r="D57" s="651"/>
      <c r="E57" s="652"/>
      <c r="F57" s="651"/>
      <c r="G57" s="652"/>
      <c r="H57" s="651"/>
      <c r="I57" s="652"/>
      <c r="J57" s="654"/>
      <c r="K57" s="655"/>
      <c r="L57" s="656"/>
      <c r="M57" s="654"/>
      <c r="N57" s="655"/>
      <c r="O57" s="656"/>
      <c r="P57" s="647" t="s">
        <v>53</v>
      </c>
      <c r="Q57" s="647"/>
      <c r="R57" s="647"/>
      <c r="S57" s="647" t="s">
        <v>54</v>
      </c>
      <c r="T57" s="647"/>
      <c r="U57" s="647"/>
      <c r="V57" s="647" t="s">
        <v>55</v>
      </c>
      <c r="W57" s="647"/>
      <c r="X57" s="659"/>
    </row>
    <row r="58" spans="2:24" ht="79.5" thickBot="1">
      <c r="B58" s="645"/>
      <c r="C58" s="648"/>
      <c r="D58" s="35" t="s">
        <v>106</v>
      </c>
      <c r="E58" s="35" t="s">
        <v>14</v>
      </c>
      <c r="F58" s="35" t="s">
        <v>107</v>
      </c>
      <c r="G58" s="35" t="s">
        <v>14</v>
      </c>
      <c r="H58" s="35" t="s">
        <v>107</v>
      </c>
      <c r="I58" s="35" t="s">
        <v>14</v>
      </c>
      <c r="J58" s="35" t="s">
        <v>108</v>
      </c>
      <c r="K58" s="35" t="s">
        <v>19</v>
      </c>
      <c r="L58" s="35" t="s">
        <v>31</v>
      </c>
      <c r="M58" s="35" t="s">
        <v>108</v>
      </c>
      <c r="N58" s="35" t="s">
        <v>19</v>
      </c>
      <c r="O58" s="35" t="s">
        <v>31</v>
      </c>
      <c r="P58" s="35" t="s">
        <v>108</v>
      </c>
      <c r="Q58" s="35" t="s">
        <v>19</v>
      </c>
      <c r="R58" s="35" t="s">
        <v>31</v>
      </c>
      <c r="S58" s="35" t="s">
        <v>108</v>
      </c>
      <c r="T58" s="35" t="s">
        <v>19</v>
      </c>
      <c r="U58" s="35" t="s">
        <v>31</v>
      </c>
      <c r="V58" s="35" t="s">
        <v>108</v>
      </c>
      <c r="W58" s="35" t="s">
        <v>19</v>
      </c>
      <c r="X58" s="36" t="s">
        <v>31</v>
      </c>
    </row>
    <row r="59" spans="2:24" ht="16.5" thickBot="1">
      <c r="B59" s="357">
        <v>1</v>
      </c>
      <c r="C59" s="37">
        <v>2</v>
      </c>
      <c r="D59" s="37">
        <v>3</v>
      </c>
      <c r="E59" s="38">
        <v>4</v>
      </c>
      <c r="F59" s="37">
        <v>5</v>
      </c>
      <c r="G59" s="37">
        <v>6</v>
      </c>
      <c r="H59" s="38">
        <v>7</v>
      </c>
      <c r="I59" s="37">
        <v>8</v>
      </c>
      <c r="J59" s="37">
        <v>9</v>
      </c>
      <c r="K59" s="38">
        <v>10</v>
      </c>
      <c r="L59" s="37">
        <v>11</v>
      </c>
      <c r="M59" s="37">
        <v>12</v>
      </c>
      <c r="N59" s="38">
        <v>13</v>
      </c>
      <c r="O59" s="37">
        <v>14</v>
      </c>
      <c r="P59" s="37">
        <v>15</v>
      </c>
      <c r="Q59" s="38">
        <v>16</v>
      </c>
      <c r="R59" s="37">
        <v>17</v>
      </c>
      <c r="S59" s="37">
        <v>18</v>
      </c>
      <c r="T59" s="38">
        <v>19</v>
      </c>
      <c r="U59" s="37">
        <v>20</v>
      </c>
      <c r="V59" s="37">
        <v>21</v>
      </c>
      <c r="W59" s="38">
        <v>22</v>
      </c>
      <c r="X59" s="39">
        <v>23</v>
      </c>
    </row>
    <row r="60" spans="2:24" ht="31.5">
      <c r="B60" s="358" t="s">
        <v>1</v>
      </c>
      <c r="C60" s="40" t="s">
        <v>56</v>
      </c>
      <c r="D60" s="551">
        <f>D62+D63+D64</f>
        <v>118</v>
      </c>
      <c r="E60" s="551">
        <f t="shared" ref="E60:I60" si="31">E62+E63+E64</f>
        <v>116</v>
      </c>
      <c r="F60" s="551">
        <f t="shared" si="31"/>
        <v>118</v>
      </c>
      <c r="G60" s="551">
        <f t="shared" si="31"/>
        <v>116</v>
      </c>
      <c r="H60" s="551">
        <f t="shared" si="31"/>
        <v>118</v>
      </c>
      <c r="I60" s="551">
        <f t="shared" si="31"/>
        <v>116</v>
      </c>
      <c r="J60" s="552">
        <v>85937.65</v>
      </c>
      <c r="K60" s="552">
        <v>86495.66</v>
      </c>
      <c r="L60" s="552">
        <v>60724.909999999996</v>
      </c>
      <c r="M60" s="552">
        <v>56383.670000000006</v>
      </c>
      <c r="N60" s="552">
        <f t="shared" ref="N60:O60" si="32">Q60+T60</f>
        <v>56403.92</v>
      </c>
      <c r="O60" s="552">
        <f t="shared" si="32"/>
        <v>40556.31</v>
      </c>
      <c r="P60" s="552">
        <v>56383.670000000006</v>
      </c>
      <c r="Q60" s="552">
        <f t="shared" ref="Q60:X60" si="33">Q62+Q63+Q64</f>
        <v>55710.89</v>
      </c>
      <c r="R60" s="552">
        <f t="shared" si="33"/>
        <v>39863.279999999999</v>
      </c>
      <c r="S60" s="552">
        <f t="shared" si="33"/>
        <v>0</v>
      </c>
      <c r="T60" s="552">
        <f t="shared" si="33"/>
        <v>693.03</v>
      </c>
      <c r="U60" s="552">
        <f t="shared" si="33"/>
        <v>693.03</v>
      </c>
      <c r="V60" s="552">
        <f t="shared" si="33"/>
        <v>0</v>
      </c>
      <c r="W60" s="552">
        <f t="shared" si="33"/>
        <v>0</v>
      </c>
      <c r="X60" s="552">
        <f t="shared" si="33"/>
        <v>0</v>
      </c>
    </row>
    <row r="61" spans="2:24" ht="31.5">
      <c r="B61" s="359" t="s">
        <v>20</v>
      </c>
      <c r="C61" s="42" t="s">
        <v>57</v>
      </c>
      <c r="D61" s="550"/>
      <c r="E61" s="550"/>
      <c r="F61" s="550"/>
      <c r="G61" s="550"/>
      <c r="H61" s="550"/>
      <c r="I61" s="550"/>
      <c r="J61" s="446" t="s">
        <v>46</v>
      </c>
      <c r="K61" s="446" t="s">
        <v>46</v>
      </c>
      <c r="L61" s="446" t="s">
        <v>46</v>
      </c>
      <c r="M61" s="553"/>
      <c r="N61" s="553"/>
      <c r="O61" s="553"/>
      <c r="P61" s="553"/>
      <c r="Q61" s="553"/>
      <c r="R61" s="553"/>
      <c r="S61" s="227"/>
      <c r="T61" s="227"/>
      <c r="U61" s="227"/>
      <c r="V61" s="227"/>
      <c r="W61" s="227"/>
      <c r="X61" s="228"/>
    </row>
    <row r="62" spans="2:24" ht="18.75">
      <c r="B62" s="359" t="s">
        <v>21</v>
      </c>
      <c r="C62" s="42" t="s">
        <v>58</v>
      </c>
      <c r="D62" s="550">
        <v>87</v>
      </c>
      <c r="E62" s="550">
        <v>85</v>
      </c>
      <c r="F62" s="550">
        <v>87</v>
      </c>
      <c r="G62" s="550">
        <v>85</v>
      </c>
      <c r="H62" s="550">
        <v>87</v>
      </c>
      <c r="I62" s="550">
        <f>85+2</f>
        <v>87</v>
      </c>
      <c r="J62" s="446" t="s">
        <v>46</v>
      </c>
      <c r="K62" s="446" t="s">
        <v>46</v>
      </c>
      <c r="L62" s="446" t="s">
        <v>46</v>
      </c>
      <c r="M62" s="553">
        <v>45447.41</v>
      </c>
      <c r="N62" s="553">
        <f t="shared" ref="N62:O62" si="34">Q62+T62</f>
        <v>45366.69</v>
      </c>
      <c r="O62" s="553">
        <f t="shared" si="34"/>
        <v>32941.42</v>
      </c>
      <c r="P62" s="553">
        <v>45447.41</v>
      </c>
      <c r="Q62" s="553">
        <f>45366.64-608.78+0.05</f>
        <v>44757.91</v>
      </c>
      <c r="R62" s="553">
        <f>32941.42-608.78</f>
        <v>32332.639999999999</v>
      </c>
      <c r="S62" s="227">
        <v>0</v>
      </c>
      <c r="T62" s="227">
        <v>608.78</v>
      </c>
      <c r="U62" s="227">
        <v>608.78</v>
      </c>
      <c r="V62" s="227"/>
      <c r="W62" s="229"/>
      <c r="X62" s="230"/>
    </row>
    <row r="63" spans="2:24" ht="63">
      <c r="B63" s="359" t="s">
        <v>22</v>
      </c>
      <c r="C63" s="42" t="s">
        <v>59</v>
      </c>
      <c r="D63" s="550">
        <v>23</v>
      </c>
      <c r="E63" s="550">
        <v>23</v>
      </c>
      <c r="F63" s="550">
        <v>23</v>
      </c>
      <c r="G63" s="550">
        <v>23</v>
      </c>
      <c r="H63" s="550">
        <v>23</v>
      </c>
      <c r="I63" s="550">
        <f>23-2</f>
        <v>21</v>
      </c>
      <c r="J63" s="446" t="s">
        <v>46</v>
      </c>
      <c r="K63" s="446" t="s">
        <v>46</v>
      </c>
      <c r="L63" s="446" t="s">
        <v>46</v>
      </c>
      <c r="M63" s="553">
        <v>9659.66</v>
      </c>
      <c r="N63" s="553">
        <f t="shared" ref="N63:N64" si="35">Q63+T63</f>
        <v>9736.42</v>
      </c>
      <c r="O63" s="553">
        <f t="shared" ref="O63:O64" si="36">R63+U63</f>
        <v>6221.59</v>
      </c>
      <c r="P63" s="553">
        <v>9659.66</v>
      </c>
      <c r="Q63" s="553">
        <f>9736.42-84.25</f>
        <v>9652.17</v>
      </c>
      <c r="R63" s="553">
        <f>6221.56-84.25+0.03</f>
        <v>6137.34</v>
      </c>
      <c r="S63" s="227">
        <v>0</v>
      </c>
      <c r="T63" s="227">
        <v>84.25</v>
      </c>
      <c r="U63" s="227">
        <v>84.25</v>
      </c>
      <c r="V63" s="227"/>
      <c r="W63" s="229"/>
      <c r="X63" s="230"/>
    </row>
    <row r="64" spans="2:24" ht="48" thickBot="1">
      <c r="B64" s="360" t="s">
        <v>23</v>
      </c>
      <c r="C64" s="42" t="s">
        <v>85</v>
      </c>
      <c r="D64" s="554">
        <v>8</v>
      </c>
      <c r="E64" s="554">
        <v>8</v>
      </c>
      <c r="F64" s="554">
        <v>8</v>
      </c>
      <c r="G64" s="554">
        <v>8</v>
      </c>
      <c r="H64" s="554">
        <v>8</v>
      </c>
      <c r="I64" s="554">
        <v>8</v>
      </c>
      <c r="J64" s="447" t="s">
        <v>46</v>
      </c>
      <c r="K64" s="447" t="s">
        <v>46</v>
      </c>
      <c r="L64" s="447" t="s">
        <v>46</v>
      </c>
      <c r="M64" s="553">
        <v>1276.5999999999999</v>
      </c>
      <c r="N64" s="553">
        <f t="shared" si="35"/>
        <v>1300.81</v>
      </c>
      <c r="O64" s="553">
        <f t="shared" si="36"/>
        <v>1393.3</v>
      </c>
      <c r="P64" s="553">
        <v>1276.5999999999999</v>
      </c>
      <c r="Q64" s="553">
        <v>1300.81</v>
      </c>
      <c r="R64" s="555">
        <v>1393.3</v>
      </c>
      <c r="S64" s="231"/>
      <c r="T64" s="231"/>
      <c r="U64" s="231"/>
      <c r="V64" s="231"/>
      <c r="W64" s="232"/>
      <c r="X64" s="233"/>
    </row>
    <row r="65" spans="2:24" ht="26.25" thickBot="1">
      <c r="B65" s="445">
        <v>604</v>
      </c>
    </row>
    <row r="66" spans="2:24">
      <c r="B66" s="643"/>
      <c r="C66" s="646" t="s">
        <v>0</v>
      </c>
      <c r="D66" s="649" t="s">
        <v>38</v>
      </c>
      <c r="E66" s="650"/>
      <c r="F66" s="649" t="s">
        <v>39</v>
      </c>
      <c r="G66" s="650"/>
      <c r="H66" s="649" t="s">
        <v>37</v>
      </c>
      <c r="I66" s="650"/>
      <c r="J66" s="649" t="s">
        <v>74</v>
      </c>
      <c r="K66" s="650"/>
      <c r="L66" s="653"/>
      <c r="M66" s="649" t="s">
        <v>36</v>
      </c>
      <c r="N66" s="650"/>
      <c r="O66" s="653"/>
      <c r="P66" s="646" t="s">
        <v>32</v>
      </c>
      <c r="Q66" s="646"/>
      <c r="R66" s="646"/>
      <c r="S66" s="646"/>
      <c r="T66" s="646"/>
      <c r="U66" s="646"/>
      <c r="V66" s="646"/>
      <c r="W66" s="657"/>
      <c r="X66" s="658"/>
    </row>
    <row r="67" spans="2:24">
      <c r="B67" s="644"/>
      <c r="C67" s="647"/>
      <c r="D67" s="651"/>
      <c r="E67" s="652"/>
      <c r="F67" s="651"/>
      <c r="G67" s="652"/>
      <c r="H67" s="651"/>
      <c r="I67" s="652"/>
      <c r="J67" s="654"/>
      <c r="K67" s="655"/>
      <c r="L67" s="656"/>
      <c r="M67" s="654"/>
      <c r="N67" s="655"/>
      <c r="O67" s="656"/>
      <c r="P67" s="647" t="s">
        <v>53</v>
      </c>
      <c r="Q67" s="647"/>
      <c r="R67" s="647"/>
      <c r="S67" s="647" t="s">
        <v>54</v>
      </c>
      <c r="T67" s="647"/>
      <c r="U67" s="647"/>
      <c r="V67" s="647" t="s">
        <v>55</v>
      </c>
      <c r="W67" s="647"/>
      <c r="X67" s="659"/>
    </row>
    <row r="68" spans="2:24" ht="79.5" thickBot="1">
      <c r="B68" s="645"/>
      <c r="C68" s="648"/>
      <c r="D68" s="35" t="s">
        <v>106</v>
      </c>
      <c r="E68" s="35" t="s">
        <v>14</v>
      </c>
      <c r="F68" s="35" t="s">
        <v>107</v>
      </c>
      <c r="G68" s="35" t="s">
        <v>14</v>
      </c>
      <c r="H68" s="35" t="s">
        <v>107</v>
      </c>
      <c r="I68" s="35" t="s">
        <v>14</v>
      </c>
      <c r="J68" s="35" t="s">
        <v>108</v>
      </c>
      <c r="K68" s="35" t="s">
        <v>19</v>
      </c>
      <c r="L68" s="35" t="s">
        <v>31</v>
      </c>
      <c r="M68" s="35" t="s">
        <v>108</v>
      </c>
      <c r="N68" s="35" t="s">
        <v>19</v>
      </c>
      <c r="O68" s="35" t="s">
        <v>31</v>
      </c>
      <c r="P68" s="35" t="s">
        <v>108</v>
      </c>
      <c r="Q68" s="35" t="s">
        <v>19</v>
      </c>
      <c r="R68" s="35" t="s">
        <v>31</v>
      </c>
      <c r="S68" s="35" t="s">
        <v>108</v>
      </c>
      <c r="T68" s="35" t="s">
        <v>19</v>
      </c>
      <c r="U68" s="35" t="s">
        <v>31</v>
      </c>
      <c r="V68" s="35" t="s">
        <v>108</v>
      </c>
      <c r="W68" s="35" t="s">
        <v>19</v>
      </c>
      <c r="X68" s="36" t="s">
        <v>31</v>
      </c>
    </row>
    <row r="69" spans="2:24" ht="16.5" thickBot="1">
      <c r="B69" s="357">
        <v>1</v>
      </c>
      <c r="C69" s="37">
        <v>2</v>
      </c>
      <c r="D69" s="37">
        <v>3</v>
      </c>
      <c r="E69" s="38">
        <v>4</v>
      </c>
      <c r="F69" s="37">
        <v>5</v>
      </c>
      <c r="G69" s="37">
        <v>6</v>
      </c>
      <c r="H69" s="38">
        <v>7</v>
      </c>
      <c r="I69" s="37">
        <v>8</v>
      </c>
      <c r="J69" s="37">
        <v>9</v>
      </c>
      <c r="K69" s="38">
        <v>10</v>
      </c>
      <c r="L69" s="37">
        <v>11</v>
      </c>
      <c r="M69" s="37">
        <v>12</v>
      </c>
      <c r="N69" s="38">
        <v>13</v>
      </c>
      <c r="O69" s="37">
        <v>14</v>
      </c>
      <c r="P69" s="37">
        <v>15</v>
      </c>
      <c r="Q69" s="38">
        <v>16</v>
      </c>
      <c r="R69" s="37">
        <v>17</v>
      </c>
      <c r="S69" s="37">
        <v>18</v>
      </c>
      <c r="T69" s="38">
        <v>19</v>
      </c>
      <c r="U69" s="37">
        <v>20</v>
      </c>
      <c r="V69" s="37">
        <v>21</v>
      </c>
      <c r="W69" s="38">
        <v>22</v>
      </c>
      <c r="X69" s="39">
        <v>23</v>
      </c>
    </row>
    <row r="70" spans="2:24" ht="31.5">
      <c r="B70" s="358" t="s">
        <v>1</v>
      </c>
      <c r="C70" s="40" t="s">
        <v>56</v>
      </c>
      <c r="D70" s="313">
        <v>71</v>
      </c>
      <c r="E70" s="313">
        <f>E72+E73+E74</f>
        <v>70</v>
      </c>
      <c r="F70" s="313">
        <f t="shared" ref="F70:I70" si="37">F72+F73+F74</f>
        <v>69</v>
      </c>
      <c r="G70" s="313">
        <f t="shared" si="37"/>
        <v>66</v>
      </c>
      <c r="H70" s="313">
        <f t="shared" si="37"/>
        <v>70</v>
      </c>
      <c r="I70" s="313">
        <f t="shared" si="37"/>
        <v>67</v>
      </c>
      <c r="J70" s="315">
        <v>54343.44</v>
      </c>
      <c r="K70" s="315">
        <v>54470.82</v>
      </c>
      <c r="L70" s="315">
        <v>39368.089999999997</v>
      </c>
      <c r="M70" s="315">
        <f>M72+M73+M74</f>
        <v>37784.67</v>
      </c>
      <c r="N70" s="315">
        <f>N71+N72+N73+N74</f>
        <v>37894.200000000004</v>
      </c>
      <c r="O70" s="315">
        <f>O72+O73+O74</f>
        <v>28149.09</v>
      </c>
      <c r="P70" s="315">
        <f>P72+P73+P74</f>
        <v>37784.67</v>
      </c>
      <c r="Q70" s="315">
        <f>Q72+Q73+Q74</f>
        <v>37422.97</v>
      </c>
      <c r="R70" s="315">
        <f>R72+R73+R74</f>
        <v>27677.86</v>
      </c>
      <c r="S70" s="315">
        <f t="shared" ref="S70:U70" si="38">S72+S73+S74</f>
        <v>0</v>
      </c>
      <c r="T70" s="315">
        <f t="shared" si="38"/>
        <v>471.23</v>
      </c>
      <c r="U70" s="315">
        <f t="shared" si="38"/>
        <v>471.23</v>
      </c>
      <c r="V70" s="313">
        <v>0</v>
      </c>
      <c r="W70" s="313">
        <v>0</v>
      </c>
      <c r="X70" s="317">
        <v>0</v>
      </c>
    </row>
    <row r="71" spans="2:24" ht="31.5">
      <c r="B71" s="359" t="s">
        <v>20</v>
      </c>
      <c r="C71" s="42" t="s">
        <v>57</v>
      </c>
      <c r="D71" s="318">
        <v>0</v>
      </c>
      <c r="E71" s="318">
        <v>0</v>
      </c>
      <c r="F71" s="318">
        <v>0</v>
      </c>
      <c r="G71" s="318">
        <v>0</v>
      </c>
      <c r="H71" s="314">
        <v>0</v>
      </c>
      <c r="I71" s="314">
        <v>0</v>
      </c>
      <c r="J71" s="319" t="s">
        <v>46</v>
      </c>
      <c r="K71" s="319" t="s">
        <v>46</v>
      </c>
      <c r="L71" s="319" t="s">
        <v>46</v>
      </c>
      <c r="M71" s="315">
        <v>0</v>
      </c>
      <c r="N71" s="315">
        <v>0</v>
      </c>
      <c r="O71" s="315">
        <f t="shared" ref="O71" si="39">R71</f>
        <v>0</v>
      </c>
      <c r="P71" s="315">
        <v>0</v>
      </c>
      <c r="Q71" s="315">
        <v>0</v>
      </c>
      <c r="R71" s="315">
        <f t="shared" ref="R71" si="40">U71</f>
        <v>0</v>
      </c>
      <c r="S71" s="316">
        <v>0</v>
      </c>
      <c r="T71" s="315">
        <v>0</v>
      </c>
      <c r="U71" s="315">
        <v>0</v>
      </c>
      <c r="V71" s="313">
        <v>0</v>
      </c>
      <c r="W71" s="313">
        <v>0</v>
      </c>
      <c r="X71" s="317">
        <v>0</v>
      </c>
    </row>
    <row r="72" spans="2:24" ht="18">
      <c r="B72" s="359" t="s">
        <v>21</v>
      </c>
      <c r="C72" s="42" t="s">
        <v>58</v>
      </c>
      <c r="D72" s="313">
        <v>67</v>
      </c>
      <c r="E72" s="313">
        <v>66</v>
      </c>
      <c r="F72" s="313">
        <v>65</v>
      </c>
      <c r="G72" s="313">
        <v>62</v>
      </c>
      <c r="H72" s="314">
        <v>66</v>
      </c>
      <c r="I72" s="314">
        <v>63</v>
      </c>
      <c r="J72" s="319" t="s">
        <v>46</v>
      </c>
      <c r="K72" s="319" t="s">
        <v>46</v>
      </c>
      <c r="L72" s="319" t="s">
        <v>46</v>
      </c>
      <c r="M72" s="315">
        <f>P72+S72</f>
        <v>36531.85</v>
      </c>
      <c r="N72" s="315">
        <f t="shared" ref="N72:O72" si="41">Q72+T72</f>
        <v>36634.700000000004</v>
      </c>
      <c r="O72" s="315">
        <f t="shared" si="41"/>
        <v>26949.54</v>
      </c>
      <c r="P72" s="315">
        <v>36531.85</v>
      </c>
      <c r="Q72" s="315">
        <v>36170.15</v>
      </c>
      <c r="R72" s="315">
        <v>26484.99</v>
      </c>
      <c r="S72" s="316">
        <v>0</v>
      </c>
      <c r="T72" s="315">
        <v>464.55</v>
      </c>
      <c r="U72" s="315">
        <v>464.55</v>
      </c>
      <c r="V72" s="313">
        <v>0</v>
      </c>
      <c r="W72" s="313">
        <v>0</v>
      </c>
      <c r="X72" s="317">
        <v>0</v>
      </c>
    </row>
    <row r="73" spans="2:24" ht="63">
      <c r="B73" s="359" t="s">
        <v>22</v>
      </c>
      <c r="C73" s="42" t="s">
        <v>59</v>
      </c>
      <c r="D73" s="313">
        <v>2</v>
      </c>
      <c r="E73" s="313">
        <v>2</v>
      </c>
      <c r="F73" s="313">
        <v>2</v>
      </c>
      <c r="G73" s="313">
        <v>2</v>
      </c>
      <c r="H73" s="314">
        <v>2</v>
      </c>
      <c r="I73" s="314">
        <v>2</v>
      </c>
      <c r="J73" s="319" t="s">
        <v>46</v>
      </c>
      <c r="K73" s="319" t="s">
        <v>46</v>
      </c>
      <c r="L73" s="319" t="s">
        <v>46</v>
      </c>
      <c r="M73" s="315">
        <f t="shared" ref="M73:M74" si="42">P73+S73</f>
        <v>902.43</v>
      </c>
      <c r="N73" s="315">
        <f t="shared" ref="N73:N74" si="43">Q73+T73</f>
        <v>909.1099999999999</v>
      </c>
      <c r="O73" s="315">
        <f t="shared" ref="O73:O74" si="44">R73+U73</f>
        <v>702.06999999999994</v>
      </c>
      <c r="P73" s="315">
        <v>902.43</v>
      </c>
      <c r="Q73" s="315">
        <v>902.43</v>
      </c>
      <c r="R73" s="315">
        <v>695.39</v>
      </c>
      <c r="S73" s="316">
        <v>0</v>
      </c>
      <c r="T73" s="315">
        <v>6.68</v>
      </c>
      <c r="U73" s="315">
        <v>6.68</v>
      </c>
      <c r="V73" s="313">
        <v>0</v>
      </c>
      <c r="W73" s="313">
        <v>0</v>
      </c>
      <c r="X73" s="317">
        <v>0</v>
      </c>
    </row>
    <row r="74" spans="2:24" ht="48" thickBot="1">
      <c r="B74" s="360" t="s">
        <v>23</v>
      </c>
      <c r="C74" s="42" t="s">
        <v>85</v>
      </c>
      <c r="D74" s="320">
        <v>2</v>
      </c>
      <c r="E74" s="320">
        <v>2</v>
      </c>
      <c r="F74" s="320">
        <v>2</v>
      </c>
      <c r="G74" s="320">
        <v>2</v>
      </c>
      <c r="H74" s="321">
        <v>2</v>
      </c>
      <c r="I74" s="321">
        <v>2</v>
      </c>
      <c r="J74" s="322" t="s">
        <v>46</v>
      </c>
      <c r="K74" s="322" t="s">
        <v>46</v>
      </c>
      <c r="L74" s="322" t="s">
        <v>46</v>
      </c>
      <c r="M74" s="315">
        <f t="shared" si="42"/>
        <v>350.39</v>
      </c>
      <c r="N74" s="315">
        <f t="shared" si="43"/>
        <v>350.39</v>
      </c>
      <c r="O74" s="315">
        <f t="shared" si="44"/>
        <v>497.48</v>
      </c>
      <c r="P74" s="323">
        <v>350.39</v>
      </c>
      <c r="Q74" s="323">
        <v>350.39</v>
      </c>
      <c r="R74" s="323">
        <v>497.48</v>
      </c>
      <c r="S74" s="324">
        <v>0</v>
      </c>
      <c r="T74" s="323">
        <v>0</v>
      </c>
      <c r="U74" s="323">
        <v>0</v>
      </c>
      <c r="V74" s="320">
        <v>0</v>
      </c>
      <c r="W74" s="320">
        <v>0</v>
      </c>
      <c r="X74" s="325">
        <v>0</v>
      </c>
    </row>
    <row r="75" spans="2:24" ht="23.25" thickBot="1">
      <c r="B75" s="469">
        <v>605</v>
      </c>
    </row>
    <row r="76" spans="2:24">
      <c r="B76" s="643"/>
      <c r="C76" s="646" t="s">
        <v>0</v>
      </c>
      <c r="D76" s="649" t="s">
        <v>38</v>
      </c>
      <c r="E76" s="650"/>
      <c r="F76" s="649" t="s">
        <v>39</v>
      </c>
      <c r="G76" s="650"/>
      <c r="H76" s="649" t="s">
        <v>37</v>
      </c>
      <c r="I76" s="650"/>
      <c r="J76" s="649" t="s">
        <v>74</v>
      </c>
      <c r="K76" s="650"/>
      <c r="L76" s="653"/>
      <c r="M76" s="649" t="s">
        <v>36</v>
      </c>
      <c r="N76" s="650"/>
      <c r="O76" s="653"/>
      <c r="P76" s="646" t="s">
        <v>32</v>
      </c>
      <c r="Q76" s="646"/>
      <c r="R76" s="646"/>
      <c r="S76" s="646"/>
      <c r="T76" s="646"/>
      <c r="U76" s="646"/>
      <c r="V76" s="646"/>
      <c r="W76" s="657"/>
      <c r="X76" s="658"/>
    </row>
    <row r="77" spans="2:24">
      <c r="B77" s="644"/>
      <c r="C77" s="647"/>
      <c r="D77" s="651"/>
      <c r="E77" s="652"/>
      <c r="F77" s="651"/>
      <c r="G77" s="652"/>
      <c r="H77" s="651"/>
      <c r="I77" s="652"/>
      <c r="J77" s="654"/>
      <c r="K77" s="655"/>
      <c r="L77" s="656"/>
      <c r="M77" s="654"/>
      <c r="N77" s="655"/>
      <c r="O77" s="656"/>
      <c r="P77" s="647" t="s">
        <v>53</v>
      </c>
      <c r="Q77" s="647"/>
      <c r="R77" s="647"/>
      <c r="S77" s="647" t="s">
        <v>54</v>
      </c>
      <c r="T77" s="647"/>
      <c r="U77" s="647"/>
      <c r="V77" s="647" t="s">
        <v>55</v>
      </c>
      <c r="W77" s="647"/>
      <c r="X77" s="659"/>
    </row>
    <row r="78" spans="2:24" ht="79.5" thickBot="1">
      <c r="B78" s="645"/>
      <c r="C78" s="648"/>
      <c r="D78" s="48" t="s">
        <v>106</v>
      </c>
      <c r="E78" s="48" t="s">
        <v>14</v>
      </c>
      <c r="F78" s="48" t="s">
        <v>107</v>
      </c>
      <c r="G78" s="48" t="s">
        <v>14</v>
      </c>
      <c r="H78" s="48" t="s">
        <v>107</v>
      </c>
      <c r="I78" s="48" t="s">
        <v>14</v>
      </c>
      <c r="J78" s="48" t="s">
        <v>108</v>
      </c>
      <c r="K78" s="48" t="s">
        <v>19</v>
      </c>
      <c r="L78" s="48" t="s">
        <v>31</v>
      </c>
      <c r="M78" s="48" t="s">
        <v>108</v>
      </c>
      <c r="N78" s="48" t="s">
        <v>19</v>
      </c>
      <c r="O78" s="48" t="s">
        <v>31</v>
      </c>
      <c r="P78" s="48" t="s">
        <v>108</v>
      </c>
      <c r="Q78" s="48" t="s">
        <v>19</v>
      </c>
      <c r="R78" s="48" t="s">
        <v>31</v>
      </c>
      <c r="S78" s="48" t="s">
        <v>108</v>
      </c>
      <c r="T78" s="48" t="s">
        <v>19</v>
      </c>
      <c r="U78" s="48" t="s">
        <v>31</v>
      </c>
      <c r="V78" s="48" t="s">
        <v>108</v>
      </c>
      <c r="W78" s="48" t="s">
        <v>19</v>
      </c>
      <c r="X78" s="36" t="s">
        <v>31</v>
      </c>
    </row>
    <row r="79" spans="2:24" ht="16.5" thickBot="1">
      <c r="B79" s="357">
        <v>1</v>
      </c>
      <c r="C79" s="37">
        <v>2</v>
      </c>
      <c r="D79" s="37">
        <v>3</v>
      </c>
      <c r="E79" s="38">
        <v>4</v>
      </c>
      <c r="F79" s="37">
        <v>5</v>
      </c>
      <c r="G79" s="37">
        <v>6</v>
      </c>
      <c r="H79" s="38">
        <v>7</v>
      </c>
      <c r="I79" s="37">
        <v>8</v>
      </c>
      <c r="J79" s="37">
        <v>9</v>
      </c>
      <c r="K79" s="38">
        <v>10</v>
      </c>
      <c r="L79" s="37">
        <v>11</v>
      </c>
      <c r="M79" s="37">
        <v>12</v>
      </c>
      <c r="N79" s="38">
        <v>13</v>
      </c>
      <c r="O79" s="37">
        <v>14</v>
      </c>
      <c r="P79" s="37">
        <v>15</v>
      </c>
      <c r="Q79" s="38">
        <v>16</v>
      </c>
      <c r="R79" s="37">
        <v>17</v>
      </c>
      <c r="S79" s="37">
        <v>18</v>
      </c>
      <c r="T79" s="38">
        <v>19</v>
      </c>
      <c r="U79" s="37">
        <v>20</v>
      </c>
      <c r="V79" s="37">
        <v>21</v>
      </c>
      <c r="W79" s="38">
        <v>22</v>
      </c>
      <c r="X79" s="39">
        <v>23</v>
      </c>
    </row>
    <row r="80" spans="2:24" ht="31.5">
      <c r="B80" s="358" t="s">
        <v>1</v>
      </c>
      <c r="C80" s="40" t="s">
        <v>56</v>
      </c>
      <c r="D80" s="338">
        <f>D82+D83+D84</f>
        <v>49.5</v>
      </c>
      <c r="E80" s="338">
        <f t="shared" ref="E80:I80" si="45">E82+E83+E84</f>
        <v>62.5</v>
      </c>
      <c r="F80" s="338">
        <f t="shared" si="45"/>
        <v>48.5</v>
      </c>
      <c r="G80" s="338">
        <f t="shared" si="45"/>
        <v>54.5</v>
      </c>
      <c r="H80" s="338">
        <f t="shared" si="45"/>
        <v>48</v>
      </c>
      <c r="I80" s="338">
        <f t="shared" si="45"/>
        <v>60</v>
      </c>
      <c r="J80" s="339">
        <v>35255.230000000003</v>
      </c>
      <c r="K80" s="339">
        <v>45518.19</v>
      </c>
      <c r="L80" s="339">
        <v>31075.33</v>
      </c>
      <c r="M80" s="339">
        <f>P80+S80</f>
        <v>24253.279999999999</v>
      </c>
      <c r="N80" s="339">
        <f>Q80+T80</f>
        <v>31513.43</v>
      </c>
      <c r="O80" s="339">
        <f>R80+U80</f>
        <v>21742.98</v>
      </c>
      <c r="P80" s="339">
        <f t="shared" ref="P80:R80" si="46">P82+P84+P83</f>
        <v>24253.279999999999</v>
      </c>
      <c r="Q80" s="339">
        <f>Q82+Q84+Q83</f>
        <v>31137.63</v>
      </c>
      <c r="R80" s="339">
        <f t="shared" si="46"/>
        <v>21367.18</v>
      </c>
      <c r="S80" s="52">
        <f t="shared" ref="S80:X80" si="47">S81+S82+S83+S84</f>
        <v>0</v>
      </c>
      <c r="T80" s="52">
        <f t="shared" si="47"/>
        <v>375.8</v>
      </c>
      <c r="U80" s="61">
        <f t="shared" si="47"/>
        <v>375.8</v>
      </c>
      <c r="V80" s="52">
        <f t="shared" si="47"/>
        <v>0</v>
      </c>
      <c r="W80" s="52">
        <f t="shared" si="47"/>
        <v>0</v>
      </c>
      <c r="X80" s="53">
        <f t="shared" si="47"/>
        <v>0</v>
      </c>
    </row>
    <row r="81" spans="2:24" ht="31.5">
      <c r="B81" s="359" t="s">
        <v>20</v>
      </c>
      <c r="C81" s="42" t="s">
        <v>57</v>
      </c>
      <c r="D81" s="340"/>
      <c r="E81" s="340"/>
      <c r="F81" s="340"/>
      <c r="G81" s="340"/>
      <c r="H81" s="340"/>
      <c r="I81" s="340"/>
      <c r="J81" s="340" t="s">
        <v>46</v>
      </c>
      <c r="K81" s="340" t="s">
        <v>46</v>
      </c>
      <c r="L81" s="340" t="s">
        <v>46</v>
      </c>
      <c r="M81" s="341"/>
      <c r="N81" s="341"/>
      <c r="O81" s="341"/>
      <c r="P81" s="341"/>
      <c r="Q81" s="341"/>
      <c r="R81" s="341"/>
      <c r="S81" s="47"/>
      <c r="T81" s="47"/>
      <c r="U81" s="47"/>
      <c r="V81" s="47"/>
      <c r="W81" s="47"/>
      <c r="X81" s="54"/>
    </row>
    <row r="82" spans="2:24" ht="18.75">
      <c r="B82" s="359" t="s">
        <v>21</v>
      </c>
      <c r="C82" s="42" t="s">
        <v>58</v>
      </c>
      <c r="D82" s="340">
        <v>42</v>
      </c>
      <c r="E82" s="340">
        <v>54</v>
      </c>
      <c r="F82" s="340">
        <v>41</v>
      </c>
      <c r="G82" s="341">
        <v>46</v>
      </c>
      <c r="H82" s="341">
        <v>41</v>
      </c>
      <c r="I82" s="341">
        <v>52</v>
      </c>
      <c r="J82" s="161" t="s">
        <v>46</v>
      </c>
      <c r="K82" s="480" t="s">
        <v>46</v>
      </c>
      <c r="L82" s="480" t="s">
        <v>46</v>
      </c>
      <c r="M82" s="161">
        <f>P82+S82</f>
        <v>22470</v>
      </c>
      <c r="N82" s="161">
        <f>Q82+T82</f>
        <v>29576.87</v>
      </c>
      <c r="O82" s="161">
        <f t="shared" ref="O82" si="48">R82+U82</f>
        <v>20310.740000000002</v>
      </c>
      <c r="P82" s="161">
        <v>22470</v>
      </c>
      <c r="Q82" s="161">
        <f>29209.44</f>
        <v>29209.439999999999</v>
      </c>
      <c r="R82" s="161">
        <f>19943.31</f>
        <v>19943.310000000001</v>
      </c>
      <c r="S82" s="47">
        <v>0</v>
      </c>
      <c r="T82" s="47">
        <v>367.43</v>
      </c>
      <c r="U82" s="47">
        <v>367.43</v>
      </c>
      <c r="V82" s="47"/>
      <c r="W82" s="55"/>
      <c r="X82" s="56"/>
    </row>
    <row r="83" spans="2:24" ht="63">
      <c r="B83" s="359" t="s">
        <v>22</v>
      </c>
      <c r="C83" s="42" t="s">
        <v>59</v>
      </c>
      <c r="D83" s="340">
        <v>2</v>
      </c>
      <c r="E83" s="340">
        <v>2</v>
      </c>
      <c r="F83" s="340">
        <v>2</v>
      </c>
      <c r="G83" s="340">
        <v>2</v>
      </c>
      <c r="H83" s="340">
        <v>2</v>
      </c>
      <c r="I83" s="340">
        <v>2</v>
      </c>
      <c r="J83" s="161" t="s">
        <v>46</v>
      </c>
      <c r="K83" s="480" t="s">
        <v>46</v>
      </c>
      <c r="L83" s="480" t="s">
        <v>46</v>
      </c>
      <c r="M83" s="161">
        <f t="shared" ref="M83:M84" si="49">P83+S83</f>
        <v>921.28</v>
      </c>
      <c r="N83" s="161">
        <f t="shared" ref="N83:N84" si="50">Q83+T83</f>
        <v>929</v>
      </c>
      <c r="O83" s="161">
        <f t="shared" ref="O83:O84" si="51">R83+U83</f>
        <v>650.37</v>
      </c>
      <c r="P83" s="161">
        <v>921.28</v>
      </c>
      <c r="Q83" s="161">
        <f>920.63</f>
        <v>920.63</v>
      </c>
      <c r="R83" s="161">
        <f>642</f>
        <v>642</v>
      </c>
      <c r="S83" s="47">
        <v>0</v>
      </c>
      <c r="T83" s="47">
        <v>8.3699999999999992</v>
      </c>
      <c r="U83" s="47">
        <v>8.3699999999999992</v>
      </c>
      <c r="V83" s="47"/>
      <c r="W83" s="55"/>
      <c r="X83" s="56"/>
    </row>
    <row r="84" spans="2:24" ht="48" thickBot="1">
      <c r="B84" s="360" t="s">
        <v>23</v>
      </c>
      <c r="C84" s="42" t="s">
        <v>85</v>
      </c>
      <c r="D84" s="342">
        <v>5.5</v>
      </c>
      <c r="E84" s="342">
        <v>6.5</v>
      </c>
      <c r="F84" s="342">
        <v>5.5</v>
      </c>
      <c r="G84" s="481">
        <v>6.5</v>
      </c>
      <c r="H84" s="481">
        <v>5</v>
      </c>
      <c r="I84" s="481">
        <v>6</v>
      </c>
      <c r="J84" s="482" t="s">
        <v>46</v>
      </c>
      <c r="K84" s="483" t="s">
        <v>46</v>
      </c>
      <c r="L84" s="483" t="s">
        <v>46</v>
      </c>
      <c r="M84" s="161">
        <f t="shared" si="49"/>
        <v>862</v>
      </c>
      <c r="N84" s="161">
        <f t="shared" si="50"/>
        <v>1007.56</v>
      </c>
      <c r="O84" s="161">
        <f t="shared" si="51"/>
        <v>781.87</v>
      </c>
      <c r="P84" s="482">
        <v>862</v>
      </c>
      <c r="Q84" s="482">
        <v>1007.56</v>
      </c>
      <c r="R84" s="482">
        <v>781.87</v>
      </c>
      <c r="S84" s="57">
        <v>0</v>
      </c>
      <c r="T84" s="57">
        <v>0</v>
      </c>
      <c r="U84" s="57">
        <v>0</v>
      </c>
      <c r="V84" s="57"/>
      <c r="W84" s="58"/>
      <c r="X84" s="59"/>
    </row>
    <row r="85" spans="2:24" ht="23.25" thickBot="1">
      <c r="B85" s="469">
        <v>606</v>
      </c>
    </row>
    <row r="86" spans="2:24">
      <c r="B86" s="643"/>
      <c r="C86" s="646" t="s">
        <v>0</v>
      </c>
      <c r="D86" s="649" t="s">
        <v>38</v>
      </c>
      <c r="E86" s="650"/>
      <c r="F86" s="649" t="s">
        <v>39</v>
      </c>
      <c r="G86" s="650"/>
      <c r="H86" s="649" t="s">
        <v>37</v>
      </c>
      <c r="I86" s="650"/>
      <c r="J86" s="649" t="s">
        <v>74</v>
      </c>
      <c r="K86" s="650"/>
      <c r="L86" s="653"/>
      <c r="M86" s="649" t="s">
        <v>36</v>
      </c>
      <c r="N86" s="650"/>
      <c r="O86" s="653"/>
      <c r="P86" s="646" t="s">
        <v>32</v>
      </c>
      <c r="Q86" s="646"/>
      <c r="R86" s="646"/>
      <c r="S86" s="646"/>
      <c r="T86" s="646"/>
      <c r="U86" s="646"/>
      <c r="V86" s="646"/>
      <c r="W86" s="657"/>
      <c r="X86" s="658"/>
    </row>
    <row r="87" spans="2:24">
      <c r="B87" s="644"/>
      <c r="C87" s="647"/>
      <c r="D87" s="651"/>
      <c r="E87" s="652"/>
      <c r="F87" s="651"/>
      <c r="G87" s="652"/>
      <c r="H87" s="651"/>
      <c r="I87" s="652"/>
      <c r="J87" s="654"/>
      <c r="K87" s="655"/>
      <c r="L87" s="656"/>
      <c r="M87" s="654"/>
      <c r="N87" s="655"/>
      <c r="O87" s="656"/>
      <c r="P87" s="647" t="s">
        <v>53</v>
      </c>
      <c r="Q87" s="647"/>
      <c r="R87" s="647"/>
      <c r="S87" s="647" t="s">
        <v>54</v>
      </c>
      <c r="T87" s="647"/>
      <c r="U87" s="647"/>
      <c r="V87" s="647" t="s">
        <v>55</v>
      </c>
      <c r="W87" s="647"/>
      <c r="X87" s="659"/>
    </row>
    <row r="88" spans="2:24" ht="79.5" thickBot="1">
      <c r="B88" s="645"/>
      <c r="C88" s="648"/>
      <c r="D88" s="60" t="s">
        <v>47</v>
      </c>
      <c r="E88" s="60" t="s">
        <v>14</v>
      </c>
      <c r="F88" s="60" t="s">
        <v>49</v>
      </c>
      <c r="G88" s="60" t="s">
        <v>14</v>
      </c>
      <c r="H88" s="60" t="s">
        <v>49</v>
      </c>
      <c r="I88" s="60" t="s">
        <v>14</v>
      </c>
      <c r="J88" s="60" t="s">
        <v>48</v>
      </c>
      <c r="K88" s="60" t="s">
        <v>19</v>
      </c>
      <c r="L88" s="60" t="s">
        <v>31</v>
      </c>
      <c r="M88" s="60" t="s">
        <v>48</v>
      </c>
      <c r="N88" s="60" t="s">
        <v>19</v>
      </c>
      <c r="O88" s="60" t="s">
        <v>31</v>
      </c>
      <c r="P88" s="60" t="s">
        <v>48</v>
      </c>
      <c r="Q88" s="60" t="s">
        <v>19</v>
      </c>
      <c r="R88" s="60" t="s">
        <v>31</v>
      </c>
      <c r="S88" s="60" t="s">
        <v>48</v>
      </c>
      <c r="T88" s="60" t="s">
        <v>19</v>
      </c>
      <c r="U88" s="60" t="s">
        <v>31</v>
      </c>
      <c r="V88" s="60" t="s">
        <v>48</v>
      </c>
      <c r="W88" s="60" t="s">
        <v>19</v>
      </c>
      <c r="X88" s="36" t="s">
        <v>31</v>
      </c>
    </row>
    <row r="89" spans="2:24" ht="16.5" thickBot="1">
      <c r="B89" s="357">
        <v>1</v>
      </c>
      <c r="C89" s="37">
        <v>2</v>
      </c>
      <c r="D89" s="37">
        <v>3</v>
      </c>
      <c r="E89" s="38">
        <v>4</v>
      </c>
      <c r="F89" s="37">
        <v>5</v>
      </c>
      <c r="G89" s="37">
        <v>6</v>
      </c>
      <c r="H89" s="38">
        <v>7</v>
      </c>
      <c r="I89" s="37">
        <v>8</v>
      </c>
      <c r="J89" s="37">
        <v>9</v>
      </c>
      <c r="K89" s="38">
        <v>10</v>
      </c>
      <c r="L89" s="37">
        <v>11</v>
      </c>
      <c r="M89" s="37">
        <v>12</v>
      </c>
      <c r="N89" s="38">
        <v>13</v>
      </c>
      <c r="O89" s="37">
        <v>14</v>
      </c>
      <c r="P89" s="37">
        <v>15</v>
      </c>
      <c r="Q89" s="38">
        <v>16</v>
      </c>
      <c r="R89" s="37">
        <v>17</v>
      </c>
      <c r="S89" s="37">
        <v>18</v>
      </c>
      <c r="T89" s="38">
        <v>19</v>
      </c>
      <c r="U89" s="37">
        <v>20</v>
      </c>
      <c r="V89" s="37">
        <v>21</v>
      </c>
      <c r="W89" s="38">
        <v>22</v>
      </c>
      <c r="X89" s="39">
        <v>23</v>
      </c>
    </row>
    <row r="90" spans="2:24" ht="31.5">
      <c r="B90" s="358" t="s">
        <v>1</v>
      </c>
      <c r="C90" s="40" t="s">
        <v>56</v>
      </c>
      <c r="D90" s="191">
        <f>D91+D92+D93+D94</f>
        <v>7.5</v>
      </c>
      <c r="E90" s="191">
        <f t="shared" ref="E90:X90" si="52">E91+E92+E93+E94</f>
        <v>45</v>
      </c>
      <c r="F90" s="191">
        <f t="shared" si="52"/>
        <v>43.5</v>
      </c>
      <c r="G90" s="191">
        <f t="shared" si="52"/>
        <v>44</v>
      </c>
      <c r="H90" s="191">
        <f>H91+H92+H93+H94</f>
        <v>43.5</v>
      </c>
      <c r="I90" s="191">
        <f t="shared" si="52"/>
        <v>43</v>
      </c>
      <c r="J90" s="192">
        <v>32195.93</v>
      </c>
      <c r="K90" s="192">
        <v>32415.27</v>
      </c>
      <c r="L90" s="192">
        <v>21839.78</v>
      </c>
      <c r="M90" s="192">
        <f>M91+M92+M93+M94</f>
        <v>22417.239999999998</v>
      </c>
      <c r="N90" s="192">
        <f t="shared" si="52"/>
        <v>22689.39</v>
      </c>
      <c r="O90" s="192">
        <f t="shared" si="52"/>
        <v>15528.32</v>
      </c>
      <c r="P90" s="192">
        <f t="shared" si="52"/>
        <v>20554.969999999998</v>
      </c>
      <c r="Q90" s="192">
        <f t="shared" si="52"/>
        <v>20547.98</v>
      </c>
      <c r="R90" s="192">
        <f t="shared" si="52"/>
        <v>14007.19</v>
      </c>
      <c r="S90" s="192">
        <f>S91+S92+S93+S94</f>
        <v>1862.27</v>
      </c>
      <c r="T90" s="192">
        <f t="shared" si="52"/>
        <v>2141.41</v>
      </c>
      <c r="U90" s="192">
        <f>U91+U92+U93+U94</f>
        <v>1521.13</v>
      </c>
      <c r="V90" s="188">
        <f t="shared" si="52"/>
        <v>0</v>
      </c>
      <c r="W90" s="188">
        <f t="shared" si="52"/>
        <v>0</v>
      </c>
      <c r="X90" s="254">
        <f t="shared" si="52"/>
        <v>0</v>
      </c>
    </row>
    <row r="91" spans="2:24" ht="31.5">
      <c r="B91" s="359" t="s">
        <v>20</v>
      </c>
      <c r="C91" s="42" t="s">
        <v>57</v>
      </c>
      <c r="D91" s="162"/>
      <c r="E91" s="255"/>
      <c r="F91" s="162"/>
      <c r="G91" s="255"/>
      <c r="H91" s="255"/>
      <c r="I91" s="255"/>
      <c r="J91" s="163" t="s">
        <v>46</v>
      </c>
      <c r="K91" s="163" t="s">
        <v>46</v>
      </c>
      <c r="L91" s="163" t="s">
        <v>46</v>
      </c>
      <c r="M91" s="164">
        <f t="shared" ref="M91:O94" si="53">P91+S91+V91</f>
        <v>0</v>
      </c>
      <c r="N91" s="164">
        <f t="shared" si="53"/>
        <v>0</v>
      </c>
      <c r="O91" s="164">
        <f t="shared" si="53"/>
        <v>0</v>
      </c>
      <c r="P91" s="165"/>
      <c r="Q91" s="165"/>
      <c r="R91" s="256"/>
      <c r="S91" s="165"/>
      <c r="T91" s="165"/>
      <c r="U91" s="256"/>
      <c r="V91" s="189"/>
      <c r="W91" s="189"/>
      <c r="X91" s="257"/>
    </row>
    <row r="92" spans="2:24" ht="20.25">
      <c r="B92" s="359" t="s">
        <v>21</v>
      </c>
      <c r="C92" s="42" t="s">
        <v>58</v>
      </c>
      <c r="D92" s="162">
        <v>4</v>
      </c>
      <c r="E92" s="162">
        <v>41</v>
      </c>
      <c r="F92" s="162">
        <v>40</v>
      </c>
      <c r="G92" s="162">
        <v>40</v>
      </c>
      <c r="H92" s="162">
        <v>40</v>
      </c>
      <c r="I92" s="162">
        <v>39</v>
      </c>
      <c r="J92" s="163" t="s">
        <v>46</v>
      </c>
      <c r="K92" s="163" t="s">
        <v>46</v>
      </c>
      <c r="L92" s="163" t="s">
        <v>46</v>
      </c>
      <c r="M92" s="164">
        <f t="shared" si="53"/>
        <v>21140.36</v>
      </c>
      <c r="N92" s="164">
        <f t="shared" si="53"/>
        <v>21405.48</v>
      </c>
      <c r="O92" s="164">
        <f>R92+U92+X92</f>
        <v>14680.02</v>
      </c>
      <c r="P92" s="165">
        <v>19278.09</v>
      </c>
      <c r="Q92" s="165">
        <v>19278.09</v>
      </c>
      <c r="R92" s="165">
        <v>13172.91</v>
      </c>
      <c r="S92" s="165">
        <v>1862.27</v>
      </c>
      <c r="T92" s="165">
        <f>1862.27+265.12</f>
        <v>2127.39</v>
      </c>
      <c r="U92" s="165">
        <f>1241.99+265.12</f>
        <v>1507.1100000000001</v>
      </c>
      <c r="V92" s="189"/>
      <c r="W92" s="258"/>
      <c r="X92" s="259"/>
    </row>
    <row r="93" spans="2:24" ht="63">
      <c r="B93" s="359" t="s">
        <v>22</v>
      </c>
      <c r="C93" s="42" t="s">
        <v>59</v>
      </c>
      <c r="D93" s="162">
        <v>2.5</v>
      </c>
      <c r="E93" s="162">
        <v>3</v>
      </c>
      <c r="F93" s="162">
        <v>2.5</v>
      </c>
      <c r="G93" s="162">
        <v>3</v>
      </c>
      <c r="H93" s="162">
        <v>2.5</v>
      </c>
      <c r="I93" s="162">
        <v>3</v>
      </c>
      <c r="J93" s="163" t="s">
        <v>46</v>
      </c>
      <c r="K93" s="163" t="s">
        <v>46</v>
      </c>
      <c r="L93" s="163" t="s">
        <v>46</v>
      </c>
      <c r="M93" s="164">
        <f t="shared" si="53"/>
        <v>1099.19</v>
      </c>
      <c r="N93" s="164">
        <f t="shared" si="53"/>
        <v>1106.22</v>
      </c>
      <c r="O93" s="164">
        <f>R93+U93+X93</f>
        <v>705.05</v>
      </c>
      <c r="P93" s="165">
        <v>1099.19</v>
      </c>
      <c r="Q93" s="165">
        <v>1092.2</v>
      </c>
      <c r="R93" s="165">
        <v>691.03</v>
      </c>
      <c r="S93" s="165">
        <v>0</v>
      </c>
      <c r="T93" s="165">
        <v>14.02</v>
      </c>
      <c r="U93" s="165">
        <v>14.02</v>
      </c>
      <c r="V93" s="189"/>
      <c r="W93" s="258"/>
      <c r="X93" s="259"/>
    </row>
    <row r="94" spans="2:24" ht="48" thickBot="1">
      <c r="B94" s="360" t="s">
        <v>23</v>
      </c>
      <c r="C94" s="42" t="s">
        <v>85</v>
      </c>
      <c r="D94" s="166">
        <v>1</v>
      </c>
      <c r="E94" s="166">
        <v>1</v>
      </c>
      <c r="F94" s="166">
        <v>1</v>
      </c>
      <c r="G94" s="166">
        <v>1</v>
      </c>
      <c r="H94" s="166">
        <v>1</v>
      </c>
      <c r="I94" s="166">
        <v>1</v>
      </c>
      <c r="J94" s="167" t="s">
        <v>46</v>
      </c>
      <c r="K94" s="167" t="s">
        <v>46</v>
      </c>
      <c r="L94" s="167" t="s">
        <v>46</v>
      </c>
      <c r="M94" s="164">
        <f>P94+S94+V94</f>
        <v>177.69</v>
      </c>
      <c r="N94" s="164">
        <f>Q94+T94+W94</f>
        <v>177.69</v>
      </c>
      <c r="O94" s="168">
        <f t="shared" si="53"/>
        <v>143.25</v>
      </c>
      <c r="P94" s="169">
        <v>177.69</v>
      </c>
      <c r="Q94" s="169">
        <v>177.69</v>
      </c>
      <c r="R94" s="169">
        <v>143.25</v>
      </c>
      <c r="S94" s="169">
        <v>0</v>
      </c>
      <c r="T94" s="169">
        <v>0</v>
      </c>
      <c r="U94" s="169">
        <v>0</v>
      </c>
      <c r="V94" s="260"/>
      <c r="W94" s="261"/>
      <c r="X94" s="262"/>
    </row>
    <row r="95" spans="2:24" ht="23.25" thickBot="1">
      <c r="B95" s="469">
        <v>607</v>
      </c>
    </row>
    <row r="96" spans="2:24">
      <c r="B96" s="643"/>
      <c r="C96" s="646" t="s">
        <v>0</v>
      </c>
      <c r="D96" s="649" t="s">
        <v>38</v>
      </c>
      <c r="E96" s="650"/>
      <c r="F96" s="649" t="s">
        <v>39</v>
      </c>
      <c r="G96" s="650"/>
      <c r="H96" s="649" t="s">
        <v>37</v>
      </c>
      <c r="I96" s="650"/>
      <c r="J96" s="649" t="s">
        <v>74</v>
      </c>
      <c r="K96" s="650"/>
      <c r="L96" s="653"/>
      <c r="M96" s="649" t="s">
        <v>36</v>
      </c>
      <c r="N96" s="650"/>
      <c r="O96" s="653"/>
      <c r="P96" s="646" t="s">
        <v>32</v>
      </c>
      <c r="Q96" s="646"/>
      <c r="R96" s="646"/>
      <c r="S96" s="646"/>
      <c r="T96" s="646"/>
      <c r="U96" s="646"/>
      <c r="V96" s="646"/>
      <c r="W96" s="657"/>
      <c r="X96" s="658"/>
    </row>
    <row r="97" spans="2:25">
      <c r="B97" s="644"/>
      <c r="C97" s="647"/>
      <c r="D97" s="651"/>
      <c r="E97" s="652"/>
      <c r="F97" s="651"/>
      <c r="G97" s="652"/>
      <c r="H97" s="651"/>
      <c r="I97" s="652"/>
      <c r="J97" s="654"/>
      <c r="K97" s="655"/>
      <c r="L97" s="656"/>
      <c r="M97" s="654"/>
      <c r="N97" s="655"/>
      <c r="O97" s="656"/>
      <c r="P97" s="647" t="s">
        <v>53</v>
      </c>
      <c r="Q97" s="647"/>
      <c r="R97" s="647"/>
      <c r="S97" s="647" t="s">
        <v>54</v>
      </c>
      <c r="T97" s="647"/>
      <c r="U97" s="647"/>
      <c r="V97" s="647" t="s">
        <v>55</v>
      </c>
      <c r="W97" s="647"/>
      <c r="X97" s="659"/>
    </row>
    <row r="98" spans="2:25" ht="79.5" thickBot="1">
      <c r="B98" s="645"/>
      <c r="C98" s="648"/>
      <c r="D98" s="63" t="s">
        <v>106</v>
      </c>
      <c r="E98" s="63" t="s">
        <v>14</v>
      </c>
      <c r="F98" s="63" t="s">
        <v>107</v>
      </c>
      <c r="G98" s="63" t="s">
        <v>14</v>
      </c>
      <c r="H98" s="63" t="s">
        <v>107</v>
      </c>
      <c r="I98" s="63" t="s">
        <v>14</v>
      </c>
      <c r="J98" s="63" t="s">
        <v>108</v>
      </c>
      <c r="K98" s="63" t="s">
        <v>19</v>
      </c>
      <c r="L98" s="63" t="s">
        <v>31</v>
      </c>
      <c r="M98" s="63" t="s">
        <v>108</v>
      </c>
      <c r="N98" s="63" t="s">
        <v>19</v>
      </c>
      <c r="O98" s="63" t="s">
        <v>31</v>
      </c>
      <c r="P98" s="63" t="s">
        <v>108</v>
      </c>
      <c r="Q98" s="63" t="s">
        <v>19</v>
      </c>
      <c r="R98" s="63" t="s">
        <v>31</v>
      </c>
      <c r="S98" s="63" t="s">
        <v>108</v>
      </c>
      <c r="T98" s="63" t="s">
        <v>19</v>
      </c>
      <c r="U98" s="63" t="s">
        <v>31</v>
      </c>
      <c r="V98" s="63" t="s">
        <v>108</v>
      </c>
      <c r="W98" s="63" t="s">
        <v>19</v>
      </c>
      <c r="X98" s="36" t="s">
        <v>31</v>
      </c>
    </row>
    <row r="99" spans="2:25" ht="16.5" thickBot="1">
      <c r="B99" s="357">
        <v>1</v>
      </c>
      <c r="C99" s="37">
        <v>2</v>
      </c>
      <c r="D99" s="37">
        <v>3</v>
      </c>
      <c r="E99" s="38">
        <v>4</v>
      </c>
      <c r="F99" s="37">
        <v>5</v>
      </c>
      <c r="G99" s="37">
        <v>6</v>
      </c>
      <c r="H99" s="38">
        <v>7</v>
      </c>
      <c r="I99" s="37">
        <v>8</v>
      </c>
      <c r="J99" s="37">
        <v>9</v>
      </c>
      <c r="K99" s="38">
        <v>10</v>
      </c>
      <c r="L99" s="37">
        <v>11</v>
      </c>
      <c r="M99" s="37">
        <v>12</v>
      </c>
      <c r="N99" s="38">
        <v>13</v>
      </c>
      <c r="O99" s="37">
        <v>14</v>
      </c>
      <c r="P99" s="37">
        <v>15</v>
      </c>
      <c r="Q99" s="38">
        <v>16</v>
      </c>
      <c r="R99" s="37">
        <v>17</v>
      </c>
      <c r="S99" s="37">
        <v>18</v>
      </c>
      <c r="T99" s="38">
        <v>19</v>
      </c>
      <c r="U99" s="37">
        <v>20</v>
      </c>
      <c r="V99" s="37">
        <v>21</v>
      </c>
      <c r="W99" s="38">
        <v>22</v>
      </c>
      <c r="X99" s="39">
        <v>23</v>
      </c>
    </row>
    <row r="100" spans="2:25" ht="31.5">
      <c r="B100" s="358" t="s">
        <v>1</v>
      </c>
      <c r="C100" s="40" t="s">
        <v>56</v>
      </c>
      <c r="D100" s="629">
        <f t="shared" ref="D100:I100" si="54">D101+D102+D103+D104</f>
        <v>21</v>
      </c>
      <c r="E100" s="630">
        <f t="shared" si="54"/>
        <v>21</v>
      </c>
      <c r="F100" s="630">
        <f t="shared" si="54"/>
        <v>21</v>
      </c>
      <c r="G100" s="630">
        <v>21</v>
      </c>
      <c r="H100" s="630">
        <f t="shared" si="54"/>
        <v>21</v>
      </c>
      <c r="I100" s="630">
        <f t="shared" si="54"/>
        <v>21</v>
      </c>
      <c r="J100" s="177">
        <v>16598.080000000002</v>
      </c>
      <c r="K100" s="343">
        <v>16788.72</v>
      </c>
      <c r="L100" s="177">
        <v>11915.43</v>
      </c>
      <c r="M100" s="178">
        <f t="shared" ref="M100:R100" si="55">SUM(M101:M104)</f>
        <v>11519.34</v>
      </c>
      <c r="N100" s="178">
        <f t="shared" si="55"/>
        <v>11615.76</v>
      </c>
      <c r="O100" s="178">
        <f t="shared" si="55"/>
        <v>8430.83</v>
      </c>
      <c r="P100" s="178">
        <f t="shared" si="55"/>
        <v>11519.34</v>
      </c>
      <c r="Q100" s="178">
        <f t="shared" si="55"/>
        <v>11475.74</v>
      </c>
      <c r="R100" s="178">
        <f t="shared" si="55"/>
        <v>8290.81</v>
      </c>
      <c r="S100" s="178">
        <f>S101+S102+S103+S104</f>
        <v>0</v>
      </c>
      <c r="T100" s="344">
        <f>T102+T103+T104</f>
        <v>140.02000000000001</v>
      </c>
      <c r="U100" s="344">
        <f>U102+U103+U104</f>
        <v>140.02000000000001</v>
      </c>
      <c r="V100" s="178">
        <f>V101+V102+V103+V104</f>
        <v>0</v>
      </c>
      <c r="W100" s="177">
        <f>W101+W102+W103+W104</f>
        <v>0</v>
      </c>
      <c r="X100" s="345">
        <f>X101+X102+X103+X104</f>
        <v>0</v>
      </c>
    </row>
    <row r="101" spans="2:25" ht="31.5">
      <c r="B101" s="359" t="s">
        <v>20</v>
      </c>
      <c r="C101" s="42" t="s">
        <v>57</v>
      </c>
      <c r="D101" s="631">
        <v>0</v>
      </c>
      <c r="E101" s="632">
        <v>0</v>
      </c>
      <c r="F101" s="632">
        <v>0</v>
      </c>
      <c r="G101" s="632">
        <v>0</v>
      </c>
      <c r="H101" s="632">
        <v>0</v>
      </c>
      <c r="I101" s="632">
        <v>0</v>
      </c>
      <c r="J101" s="548" t="s">
        <v>46</v>
      </c>
      <c r="K101" s="548" t="s">
        <v>46</v>
      </c>
      <c r="L101" s="549" t="s">
        <v>46</v>
      </c>
      <c r="M101" s="346">
        <f t="shared" ref="M101:R104" si="56">P101+S101+V101</f>
        <v>0</v>
      </c>
      <c r="N101" s="346">
        <f t="shared" si="56"/>
        <v>0</v>
      </c>
      <c r="O101" s="346">
        <f t="shared" si="56"/>
        <v>0</v>
      </c>
      <c r="P101" s="346">
        <f t="shared" si="56"/>
        <v>0</v>
      </c>
      <c r="Q101" s="179">
        <f t="shared" si="56"/>
        <v>0</v>
      </c>
      <c r="R101" s="179">
        <f t="shared" si="56"/>
        <v>0</v>
      </c>
      <c r="S101" s="346">
        <v>0</v>
      </c>
      <c r="T101" s="346">
        <v>0</v>
      </c>
      <c r="U101" s="179">
        <v>0</v>
      </c>
      <c r="V101" s="179">
        <v>0</v>
      </c>
      <c r="W101" s="179">
        <v>0</v>
      </c>
      <c r="X101" s="199">
        <v>0</v>
      </c>
    </row>
    <row r="102" spans="2:25" ht="23.25">
      <c r="B102" s="359" t="s">
        <v>21</v>
      </c>
      <c r="C102" s="42" t="s">
        <v>58</v>
      </c>
      <c r="D102" s="631">
        <v>18</v>
      </c>
      <c r="E102" s="631">
        <v>18</v>
      </c>
      <c r="F102" s="631">
        <v>18</v>
      </c>
      <c r="G102" s="631">
        <v>18</v>
      </c>
      <c r="H102" s="631">
        <v>18</v>
      </c>
      <c r="I102" s="631">
        <v>18</v>
      </c>
      <c r="J102" s="548" t="s">
        <v>46</v>
      </c>
      <c r="K102" s="548" t="s">
        <v>46</v>
      </c>
      <c r="L102" s="548" t="s">
        <v>46</v>
      </c>
      <c r="M102" s="179">
        <f>P102</f>
        <v>10726.56</v>
      </c>
      <c r="N102" s="179">
        <f t="shared" si="56"/>
        <v>10821.42</v>
      </c>
      <c r="O102" s="179">
        <f t="shared" si="56"/>
        <v>7918.7599999999993</v>
      </c>
      <c r="P102" s="179">
        <v>10726.56</v>
      </c>
      <c r="Q102" s="179">
        <v>10686.56</v>
      </c>
      <c r="R102" s="179">
        <v>7783.9</v>
      </c>
      <c r="S102" s="179">
        <v>0</v>
      </c>
      <c r="T102" s="347">
        <v>134.86000000000001</v>
      </c>
      <c r="U102" s="347">
        <v>134.86000000000001</v>
      </c>
      <c r="V102" s="179">
        <v>0</v>
      </c>
      <c r="W102" s="179">
        <v>0</v>
      </c>
      <c r="X102" s="199">
        <v>0</v>
      </c>
    </row>
    <row r="103" spans="2:25" ht="63">
      <c r="B103" s="359" t="s">
        <v>22</v>
      </c>
      <c r="C103" s="42" t="s">
        <v>59</v>
      </c>
      <c r="D103" s="631">
        <v>1</v>
      </c>
      <c r="E103" s="631">
        <v>1</v>
      </c>
      <c r="F103" s="631">
        <v>1</v>
      </c>
      <c r="G103" s="631">
        <v>1</v>
      </c>
      <c r="H103" s="631">
        <v>1</v>
      </c>
      <c r="I103" s="631">
        <v>1</v>
      </c>
      <c r="J103" s="548" t="s">
        <v>46</v>
      </c>
      <c r="K103" s="548" t="s">
        <v>46</v>
      </c>
      <c r="L103" s="548" t="s">
        <v>46</v>
      </c>
      <c r="M103" s="179">
        <f>P103</f>
        <v>483.25</v>
      </c>
      <c r="N103" s="179">
        <f t="shared" si="56"/>
        <v>478.41</v>
      </c>
      <c r="O103" s="179">
        <f t="shared" si="56"/>
        <v>307.23</v>
      </c>
      <c r="P103" s="179">
        <v>483.25</v>
      </c>
      <c r="Q103" s="179">
        <v>473.25</v>
      </c>
      <c r="R103" s="179">
        <v>302.07</v>
      </c>
      <c r="S103" s="179">
        <v>0</v>
      </c>
      <c r="T103" s="179">
        <v>5.16</v>
      </c>
      <c r="U103" s="179">
        <v>5.16</v>
      </c>
      <c r="V103" s="179">
        <v>0</v>
      </c>
      <c r="W103" s="179">
        <v>0</v>
      </c>
      <c r="X103" s="199">
        <v>0</v>
      </c>
    </row>
    <row r="104" spans="2:25" ht="48" thickBot="1">
      <c r="B104" s="360" t="s">
        <v>23</v>
      </c>
      <c r="C104" s="42" t="s">
        <v>85</v>
      </c>
      <c r="D104" s="633">
        <v>2</v>
      </c>
      <c r="E104" s="633">
        <v>2</v>
      </c>
      <c r="F104" s="633">
        <v>2</v>
      </c>
      <c r="G104" s="633">
        <v>2</v>
      </c>
      <c r="H104" s="633">
        <v>2</v>
      </c>
      <c r="I104" s="633">
        <v>2</v>
      </c>
      <c r="J104" s="180" t="s">
        <v>46</v>
      </c>
      <c r="K104" s="180" t="s">
        <v>46</v>
      </c>
      <c r="L104" s="180" t="s">
        <v>46</v>
      </c>
      <c r="M104" s="181">
        <f>P104+S104+V104</f>
        <v>309.52999999999997</v>
      </c>
      <c r="N104" s="181">
        <f t="shared" si="56"/>
        <v>315.93</v>
      </c>
      <c r="O104" s="181">
        <f t="shared" si="56"/>
        <v>204.84</v>
      </c>
      <c r="P104" s="181">
        <v>309.52999999999997</v>
      </c>
      <c r="Q104" s="181">
        <v>315.93</v>
      </c>
      <c r="R104" s="181">
        <v>204.84</v>
      </c>
      <c r="S104" s="181">
        <v>0</v>
      </c>
      <c r="T104" s="181">
        <v>0</v>
      </c>
      <c r="U104" s="181">
        <v>0</v>
      </c>
      <c r="V104" s="181">
        <v>0</v>
      </c>
      <c r="W104" s="181">
        <v>0</v>
      </c>
      <c r="X104" s="348">
        <v>0</v>
      </c>
    </row>
    <row r="105" spans="2:25" ht="23.25" thickBot="1">
      <c r="B105" s="469">
        <v>609</v>
      </c>
    </row>
    <row r="106" spans="2:25">
      <c r="B106" s="643"/>
      <c r="C106" s="646" t="s">
        <v>0</v>
      </c>
      <c r="D106" s="649" t="s">
        <v>38</v>
      </c>
      <c r="E106" s="650"/>
      <c r="F106" s="649" t="s">
        <v>39</v>
      </c>
      <c r="G106" s="650"/>
      <c r="H106" s="649" t="s">
        <v>37</v>
      </c>
      <c r="I106" s="650"/>
      <c r="J106" s="649" t="s">
        <v>74</v>
      </c>
      <c r="K106" s="650"/>
      <c r="L106" s="653"/>
      <c r="M106" s="649" t="s">
        <v>36</v>
      </c>
      <c r="N106" s="650"/>
      <c r="O106" s="653"/>
      <c r="P106" s="646" t="s">
        <v>32</v>
      </c>
      <c r="Q106" s="646"/>
      <c r="R106" s="646"/>
      <c r="S106" s="646"/>
      <c r="T106" s="646"/>
      <c r="U106" s="646"/>
      <c r="V106" s="646"/>
      <c r="W106" s="657"/>
      <c r="X106" s="658"/>
    </row>
    <row r="107" spans="2:25">
      <c r="B107" s="644"/>
      <c r="C107" s="647"/>
      <c r="D107" s="651"/>
      <c r="E107" s="652"/>
      <c r="F107" s="651"/>
      <c r="G107" s="652"/>
      <c r="H107" s="651"/>
      <c r="I107" s="652"/>
      <c r="J107" s="654"/>
      <c r="K107" s="655"/>
      <c r="L107" s="656"/>
      <c r="M107" s="654"/>
      <c r="N107" s="655"/>
      <c r="O107" s="656"/>
      <c r="P107" s="647" t="s">
        <v>53</v>
      </c>
      <c r="Q107" s="647"/>
      <c r="R107" s="647"/>
      <c r="S107" s="647" t="s">
        <v>54</v>
      </c>
      <c r="T107" s="647"/>
      <c r="U107" s="647"/>
      <c r="V107" s="647" t="s">
        <v>55</v>
      </c>
      <c r="W107" s="647"/>
      <c r="X107" s="659"/>
    </row>
    <row r="108" spans="2:25" ht="79.5" thickBot="1">
      <c r="B108" s="645"/>
      <c r="C108" s="648"/>
      <c r="D108" s="35" t="s">
        <v>106</v>
      </c>
      <c r="E108" s="35" t="s">
        <v>14</v>
      </c>
      <c r="F108" s="35" t="s">
        <v>107</v>
      </c>
      <c r="G108" s="35" t="s">
        <v>14</v>
      </c>
      <c r="H108" s="35" t="s">
        <v>107</v>
      </c>
      <c r="I108" s="35" t="s">
        <v>14</v>
      </c>
      <c r="J108" s="35" t="s">
        <v>108</v>
      </c>
      <c r="K108" s="35" t="s">
        <v>19</v>
      </c>
      <c r="L108" s="35" t="s">
        <v>31</v>
      </c>
      <c r="M108" s="35" t="s">
        <v>108</v>
      </c>
      <c r="N108" s="35" t="s">
        <v>19</v>
      </c>
      <c r="O108" s="35" t="s">
        <v>31</v>
      </c>
      <c r="P108" s="35" t="s">
        <v>108</v>
      </c>
      <c r="Q108" s="35" t="s">
        <v>19</v>
      </c>
      <c r="R108" s="35" t="s">
        <v>31</v>
      </c>
      <c r="S108" s="35" t="s">
        <v>108</v>
      </c>
      <c r="T108" s="35" t="s">
        <v>19</v>
      </c>
      <c r="U108" s="35" t="s">
        <v>31</v>
      </c>
      <c r="V108" s="35" t="s">
        <v>108</v>
      </c>
      <c r="W108" s="35" t="s">
        <v>19</v>
      </c>
      <c r="X108" s="36" t="s">
        <v>31</v>
      </c>
    </row>
    <row r="109" spans="2:25" ht="16.5" thickBot="1">
      <c r="B109" s="357">
        <v>1</v>
      </c>
      <c r="C109" s="37">
        <v>2</v>
      </c>
      <c r="D109" s="37">
        <v>3</v>
      </c>
      <c r="E109" s="38">
        <v>4</v>
      </c>
      <c r="F109" s="37">
        <v>5</v>
      </c>
      <c r="G109" s="37">
        <v>6</v>
      </c>
      <c r="H109" s="38">
        <v>7</v>
      </c>
      <c r="I109" s="37">
        <v>8</v>
      </c>
      <c r="J109" s="37">
        <v>9</v>
      </c>
      <c r="K109" s="38">
        <v>10</v>
      </c>
      <c r="L109" s="37">
        <v>11</v>
      </c>
      <c r="M109" s="37">
        <v>12</v>
      </c>
      <c r="N109" s="38">
        <v>13</v>
      </c>
      <c r="O109" s="37">
        <v>14</v>
      </c>
      <c r="P109" s="37">
        <v>15</v>
      </c>
      <c r="Q109" s="38">
        <v>16</v>
      </c>
      <c r="R109" s="37">
        <v>17</v>
      </c>
      <c r="S109" s="37">
        <v>18</v>
      </c>
      <c r="T109" s="38">
        <v>19</v>
      </c>
      <c r="U109" s="37">
        <v>20</v>
      </c>
      <c r="V109" s="37">
        <v>21</v>
      </c>
      <c r="W109" s="38">
        <v>22</v>
      </c>
      <c r="X109" s="39">
        <v>23</v>
      </c>
    </row>
    <row r="110" spans="2:25" ht="31.5">
      <c r="B110" s="358" t="s">
        <v>1</v>
      </c>
      <c r="C110" s="40" t="s">
        <v>56</v>
      </c>
      <c r="D110" s="303">
        <f>D111+D112+D113+D114</f>
        <v>140</v>
      </c>
      <c r="E110" s="303">
        <f>E111+E112+E113+E114</f>
        <v>140</v>
      </c>
      <c r="F110" s="303">
        <f>F111+F112+F113+F114</f>
        <v>138</v>
      </c>
      <c r="G110" s="303">
        <f>G112+G113+G114</f>
        <v>139</v>
      </c>
      <c r="H110" s="303">
        <f>H111+H112+H113+H114</f>
        <v>138</v>
      </c>
      <c r="I110" s="303">
        <f>I112+I113+I114</f>
        <v>139</v>
      </c>
      <c r="J110" s="304">
        <v>77218.37</v>
      </c>
      <c r="K110" s="304">
        <v>78186.39</v>
      </c>
      <c r="L110" s="304">
        <v>62078.77</v>
      </c>
      <c r="M110" s="304">
        <f>M112+M113+M114</f>
        <v>56075.26</v>
      </c>
      <c r="N110" s="304">
        <f t="shared" ref="N110:O110" si="57">N112+N113+N114</f>
        <v>56141.15</v>
      </c>
      <c r="O110" s="304">
        <f t="shared" si="57"/>
        <v>45303.369999999995</v>
      </c>
      <c r="P110" s="304">
        <f>P112+P113+P114</f>
        <v>5818.12</v>
      </c>
      <c r="Q110" s="304">
        <f t="shared" ref="Q110:U110" si="58">Q112+Q113+Q114</f>
        <v>5818.12</v>
      </c>
      <c r="R110" s="304">
        <f t="shared" si="58"/>
        <v>4222.07</v>
      </c>
      <c r="S110" s="304">
        <f t="shared" si="58"/>
        <v>50257.14</v>
      </c>
      <c r="T110" s="304">
        <f t="shared" si="58"/>
        <v>50323.03</v>
      </c>
      <c r="U110" s="304">
        <f t="shared" si="58"/>
        <v>41081.299999999996</v>
      </c>
      <c r="V110" s="329">
        <f>V111+V112+V113+V114</f>
        <v>0</v>
      </c>
      <c r="W110" s="329">
        <f>W111+W112+W113+W114</f>
        <v>0</v>
      </c>
      <c r="X110" s="308">
        <f>X111+X112+X113+X114</f>
        <v>0</v>
      </c>
      <c r="Y110" s="147"/>
    </row>
    <row r="111" spans="2:25" ht="31.5">
      <c r="B111" s="359" t="s">
        <v>20</v>
      </c>
      <c r="C111" s="42" t="s">
        <v>57</v>
      </c>
      <c r="D111" s="305"/>
      <c r="E111" s="305"/>
      <c r="F111" s="305"/>
      <c r="G111" s="305"/>
      <c r="H111" s="305"/>
      <c r="I111" s="305" t="s">
        <v>120</v>
      </c>
      <c r="J111" s="330"/>
      <c r="K111" s="330"/>
      <c r="L111" s="330"/>
      <c r="M111" s="306"/>
      <c r="N111" s="306"/>
      <c r="O111" s="306"/>
      <c r="P111" s="331"/>
      <c r="Q111" s="331"/>
      <c r="R111" s="331"/>
      <c r="S111" s="331"/>
      <c r="T111" s="331"/>
      <c r="U111" s="331"/>
      <c r="V111" s="332">
        <v>0</v>
      </c>
      <c r="W111" s="332">
        <v>0</v>
      </c>
      <c r="X111" s="309">
        <v>0</v>
      </c>
      <c r="Y111" s="147"/>
    </row>
    <row r="112" spans="2:25" ht="18">
      <c r="B112" s="359" t="s">
        <v>21</v>
      </c>
      <c r="C112" s="42" t="s">
        <v>58</v>
      </c>
      <c r="D112" s="305">
        <v>117</v>
      </c>
      <c r="E112" s="305">
        <v>117</v>
      </c>
      <c r="F112" s="305">
        <v>115</v>
      </c>
      <c r="G112" s="305">
        <v>116</v>
      </c>
      <c r="H112" s="305">
        <v>115</v>
      </c>
      <c r="I112" s="305">
        <v>116</v>
      </c>
      <c r="J112" s="330"/>
      <c r="K112" s="330"/>
      <c r="L112" s="330"/>
      <c r="M112" s="306">
        <f>P112+S112</f>
        <v>51568.65</v>
      </c>
      <c r="N112" s="306">
        <f>Q112+T112</f>
        <v>51607.57</v>
      </c>
      <c r="O112" s="306">
        <f>R112+U112</f>
        <v>41825.269999999997</v>
      </c>
      <c r="P112" s="331">
        <v>5818.12</v>
      </c>
      <c r="Q112" s="331">
        <v>5818.12</v>
      </c>
      <c r="R112" s="331">
        <v>4222.07</v>
      </c>
      <c r="S112" s="331">
        <v>45750.53</v>
      </c>
      <c r="T112" s="331">
        <v>45789.45</v>
      </c>
      <c r="U112" s="331">
        <v>37603.199999999997</v>
      </c>
      <c r="V112" s="332">
        <v>0</v>
      </c>
      <c r="W112" s="333">
        <v>0</v>
      </c>
      <c r="X112" s="310"/>
      <c r="Y112" s="147"/>
    </row>
    <row r="113" spans="2:25" ht="63">
      <c r="B113" s="359" t="s">
        <v>22</v>
      </c>
      <c r="C113" s="42" t="s">
        <v>59</v>
      </c>
      <c r="D113" s="305">
        <v>14</v>
      </c>
      <c r="E113" s="305">
        <v>14</v>
      </c>
      <c r="F113" s="305">
        <v>14</v>
      </c>
      <c r="G113" s="305">
        <v>14</v>
      </c>
      <c r="H113" s="305">
        <v>14</v>
      </c>
      <c r="I113" s="305">
        <v>14</v>
      </c>
      <c r="J113" s="330"/>
      <c r="K113" s="330"/>
      <c r="L113" s="330"/>
      <c r="M113" s="306">
        <f>P113+S113</f>
        <v>3122.57</v>
      </c>
      <c r="N113" s="306">
        <f>Q113+T113</f>
        <v>3149.54</v>
      </c>
      <c r="O113" s="306">
        <f t="shared" ref="O113:O114" si="59">R113+U113</f>
        <v>2171.1</v>
      </c>
      <c r="P113" s="331">
        <v>0</v>
      </c>
      <c r="Q113" s="331">
        <v>0</v>
      </c>
      <c r="R113" s="331">
        <v>0</v>
      </c>
      <c r="S113" s="331">
        <v>3122.57</v>
      </c>
      <c r="T113" s="331">
        <v>3149.54</v>
      </c>
      <c r="U113" s="331">
        <v>2171.1</v>
      </c>
      <c r="V113" s="332">
        <v>0</v>
      </c>
      <c r="W113" s="333">
        <v>0</v>
      </c>
      <c r="X113" s="311">
        <v>0</v>
      </c>
      <c r="Y113" s="147"/>
    </row>
    <row r="114" spans="2:25" ht="48" thickBot="1">
      <c r="B114" s="360" t="s">
        <v>23</v>
      </c>
      <c r="C114" s="42" t="s">
        <v>85</v>
      </c>
      <c r="D114" s="307">
        <v>9</v>
      </c>
      <c r="E114" s="307">
        <v>9</v>
      </c>
      <c r="F114" s="307">
        <v>9</v>
      </c>
      <c r="G114" s="307">
        <v>9</v>
      </c>
      <c r="H114" s="307">
        <v>9</v>
      </c>
      <c r="I114" s="307">
        <v>9</v>
      </c>
      <c r="J114" s="334"/>
      <c r="K114" s="334"/>
      <c r="L114" s="334"/>
      <c r="M114" s="306">
        <f>P114+S114</f>
        <v>1384.04</v>
      </c>
      <c r="N114" s="306">
        <f>Q114+T114</f>
        <v>1384.04</v>
      </c>
      <c r="O114" s="306">
        <f t="shared" si="59"/>
        <v>1307</v>
      </c>
      <c r="P114" s="335">
        <v>0</v>
      </c>
      <c r="Q114" s="335">
        <v>0</v>
      </c>
      <c r="R114" s="335">
        <v>0</v>
      </c>
      <c r="S114" s="335">
        <v>1384.04</v>
      </c>
      <c r="T114" s="335">
        <v>1384.04</v>
      </c>
      <c r="U114" s="335">
        <v>1307</v>
      </c>
      <c r="V114" s="336">
        <v>0</v>
      </c>
      <c r="W114" s="337">
        <v>0</v>
      </c>
      <c r="X114" s="312">
        <v>0</v>
      </c>
      <c r="Y114" s="147"/>
    </row>
    <row r="115" spans="2:25" ht="23.25" thickBot="1">
      <c r="B115" s="469">
        <v>611</v>
      </c>
    </row>
    <row r="116" spans="2:25">
      <c r="B116" s="643"/>
      <c r="C116" s="646" t="s">
        <v>0</v>
      </c>
      <c r="D116" s="649" t="s">
        <v>38</v>
      </c>
      <c r="E116" s="650"/>
      <c r="F116" s="649" t="s">
        <v>39</v>
      </c>
      <c r="G116" s="650"/>
      <c r="H116" s="649" t="s">
        <v>37</v>
      </c>
      <c r="I116" s="650"/>
      <c r="J116" s="649" t="s">
        <v>74</v>
      </c>
      <c r="K116" s="650"/>
      <c r="L116" s="653"/>
      <c r="M116" s="649" t="s">
        <v>36</v>
      </c>
      <c r="N116" s="650"/>
      <c r="O116" s="653"/>
      <c r="P116" s="646" t="s">
        <v>32</v>
      </c>
      <c r="Q116" s="646"/>
      <c r="R116" s="646"/>
      <c r="S116" s="646"/>
      <c r="T116" s="646"/>
      <c r="U116" s="646"/>
      <c r="V116" s="646"/>
      <c r="W116" s="657"/>
      <c r="X116" s="658"/>
    </row>
    <row r="117" spans="2:25">
      <c r="B117" s="644"/>
      <c r="C117" s="647"/>
      <c r="D117" s="651"/>
      <c r="E117" s="652"/>
      <c r="F117" s="651"/>
      <c r="G117" s="652"/>
      <c r="H117" s="651"/>
      <c r="I117" s="652"/>
      <c r="J117" s="654"/>
      <c r="K117" s="655"/>
      <c r="L117" s="656"/>
      <c r="M117" s="654"/>
      <c r="N117" s="655"/>
      <c r="O117" s="656"/>
      <c r="P117" s="647" t="s">
        <v>53</v>
      </c>
      <c r="Q117" s="647"/>
      <c r="R117" s="647"/>
      <c r="S117" s="647" t="s">
        <v>54</v>
      </c>
      <c r="T117" s="647"/>
      <c r="U117" s="647"/>
      <c r="V117" s="647" t="s">
        <v>55</v>
      </c>
      <c r="W117" s="647"/>
      <c r="X117" s="659"/>
    </row>
    <row r="118" spans="2:25" ht="79.5" thickBot="1">
      <c r="B118" s="645"/>
      <c r="C118" s="648"/>
      <c r="D118" s="63" t="s">
        <v>47</v>
      </c>
      <c r="E118" s="63" t="s">
        <v>14</v>
      </c>
      <c r="F118" s="63" t="s">
        <v>49</v>
      </c>
      <c r="G118" s="63" t="s">
        <v>14</v>
      </c>
      <c r="H118" s="63" t="s">
        <v>49</v>
      </c>
      <c r="I118" s="63" t="s">
        <v>14</v>
      </c>
      <c r="J118" s="63" t="s">
        <v>48</v>
      </c>
      <c r="K118" s="63" t="s">
        <v>19</v>
      </c>
      <c r="L118" s="63" t="s">
        <v>31</v>
      </c>
      <c r="M118" s="63" t="s">
        <v>48</v>
      </c>
      <c r="N118" s="63" t="s">
        <v>19</v>
      </c>
      <c r="O118" s="63" t="s">
        <v>31</v>
      </c>
      <c r="P118" s="63" t="s">
        <v>48</v>
      </c>
      <c r="Q118" s="63" t="s">
        <v>19</v>
      </c>
      <c r="R118" s="63" t="s">
        <v>31</v>
      </c>
      <c r="S118" s="63" t="s">
        <v>48</v>
      </c>
      <c r="T118" s="63" t="s">
        <v>19</v>
      </c>
      <c r="U118" s="63" t="s">
        <v>31</v>
      </c>
      <c r="V118" s="63" t="s">
        <v>48</v>
      </c>
      <c r="W118" s="63" t="s">
        <v>19</v>
      </c>
      <c r="X118" s="36" t="s">
        <v>31</v>
      </c>
    </row>
    <row r="119" spans="2:25" ht="16.5" thickBot="1">
      <c r="B119" s="357">
        <v>1</v>
      </c>
      <c r="C119" s="37">
        <v>2</v>
      </c>
      <c r="D119" s="37">
        <v>3</v>
      </c>
      <c r="E119" s="38">
        <v>4</v>
      </c>
      <c r="F119" s="37">
        <v>5</v>
      </c>
      <c r="G119" s="37">
        <v>6</v>
      </c>
      <c r="H119" s="38">
        <v>7</v>
      </c>
      <c r="I119" s="37">
        <v>8</v>
      </c>
      <c r="J119" s="37">
        <v>9</v>
      </c>
      <c r="K119" s="38">
        <v>10</v>
      </c>
      <c r="L119" s="37">
        <v>11</v>
      </c>
      <c r="M119" s="37">
        <v>12</v>
      </c>
      <c r="N119" s="38">
        <v>13</v>
      </c>
      <c r="O119" s="37">
        <v>14</v>
      </c>
      <c r="P119" s="37">
        <v>15</v>
      </c>
      <c r="Q119" s="38">
        <v>16</v>
      </c>
      <c r="R119" s="37">
        <v>17</v>
      </c>
      <c r="S119" s="37">
        <v>18</v>
      </c>
      <c r="T119" s="38">
        <v>19</v>
      </c>
      <c r="U119" s="37">
        <v>20</v>
      </c>
      <c r="V119" s="37">
        <v>21</v>
      </c>
      <c r="W119" s="38">
        <v>22</v>
      </c>
      <c r="X119" s="39">
        <v>23</v>
      </c>
    </row>
    <row r="120" spans="2:25" ht="31.5">
      <c r="B120" s="358" t="s">
        <v>1</v>
      </c>
      <c r="C120" s="40" t="s">
        <v>56</v>
      </c>
      <c r="D120" s="194">
        <f t="shared" ref="D120:I120" si="60">D122+D123+D124</f>
        <v>13</v>
      </c>
      <c r="E120" s="194">
        <f t="shared" si="60"/>
        <v>13</v>
      </c>
      <c r="F120" s="194">
        <f t="shared" si="60"/>
        <v>13</v>
      </c>
      <c r="G120" s="194">
        <f t="shared" si="60"/>
        <v>13</v>
      </c>
      <c r="H120" s="194">
        <f t="shared" si="60"/>
        <v>13</v>
      </c>
      <c r="I120" s="194">
        <f t="shared" si="60"/>
        <v>13</v>
      </c>
      <c r="J120" s="195">
        <v>9649.83</v>
      </c>
      <c r="K120" s="195">
        <v>9755.11</v>
      </c>
      <c r="L120" s="195">
        <v>6908.33</v>
      </c>
      <c r="M120" s="195">
        <f t="shared" ref="M120:R120" si="61">M122+M123+M124</f>
        <v>6823.88</v>
      </c>
      <c r="N120" s="195">
        <f t="shared" si="61"/>
        <v>6894.380000000001</v>
      </c>
      <c r="O120" s="195">
        <f t="shared" si="61"/>
        <v>4947.5200000000004</v>
      </c>
      <c r="P120" s="195">
        <f t="shared" si="61"/>
        <v>6823.88</v>
      </c>
      <c r="Q120" s="195">
        <f t="shared" si="61"/>
        <v>6813</v>
      </c>
      <c r="R120" s="195">
        <f t="shared" si="61"/>
        <v>4866.1400000000003</v>
      </c>
      <c r="S120" s="195">
        <f t="shared" ref="S120:X120" si="62">S121+S122+S123+S124</f>
        <v>0</v>
      </c>
      <c r="T120" s="195">
        <f>T121+T122+T123+T124</f>
        <v>81.38</v>
      </c>
      <c r="U120" s="195">
        <f t="shared" si="62"/>
        <v>81.38</v>
      </c>
      <c r="V120" s="195">
        <f t="shared" si="62"/>
        <v>0</v>
      </c>
      <c r="W120" s="195">
        <f t="shared" si="62"/>
        <v>0</v>
      </c>
      <c r="X120" s="349">
        <f t="shared" si="62"/>
        <v>0</v>
      </c>
    </row>
    <row r="121" spans="2:25" ht="31.5">
      <c r="B121" s="359" t="s">
        <v>20</v>
      </c>
      <c r="C121" s="42" t="s">
        <v>57</v>
      </c>
      <c r="D121" s="171"/>
      <c r="E121" s="196"/>
      <c r="F121" s="171"/>
      <c r="G121" s="196"/>
      <c r="H121" s="196"/>
      <c r="I121" s="196"/>
      <c r="J121" s="172" t="s">
        <v>46</v>
      </c>
      <c r="K121" s="172" t="s">
        <v>46</v>
      </c>
      <c r="L121" s="172" t="s">
        <v>46</v>
      </c>
      <c r="M121" s="173"/>
      <c r="N121" s="173"/>
      <c r="O121" s="173"/>
      <c r="P121" s="173"/>
      <c r="Q121" s="173"/>
      <c r="R121" s="197"/>
      <c r="S121" s="350"/>
      <c r="T121" s="350"/>
      <c r="U121" s="197"/>
      <c r="V121" s="350"/>
      <c r="W121" s="350"/>
      <c r="X121" s="351"/>
    </row>
    <row r="122" spans="2:25" ht="23.25">
      <c r="B122" s="359" t="s">
        <v>21</v>
      </c>
      <c r="C122" s="42" t="s">
        <v>58</v>
      </c>
      <c r="D122" s="171">
        <v>10</v>
      </c>
      <c r="E122" s="171">
        <v>10</v>
      </c>
      <c r="F122" s="171">
        <v>10</v>
      </c>
      <c r="G122" s="171">
        <v>10</v>
      </c>
      <c r="H122" s="171">
        <v>10</v>
      </c>
      <c r="I122" s="171">
        <v>10</v>
      </c>
      <c r="J122" s="172" t="s">
        <v>46</v>
      </c>
      <c r="K122" s="172" t="s">
        <v>46</v>
      </c>
      <c r="L122" s="172" t="s">
        <v>46</v>
      </c>
      <c r="M122" s="173">
        <f>P122+S122+V122</f>
        <v>6038.6</v>
      </c>
      <c r="N122" s="173">
        <f t="shared" ref="N122:O124" si="63">Q122+T122+W122</f>
        <v>6088.22</v>
      </c>
      <c r="O122" s="173">
        <f t="shared" si="63"/>
        <v>4309.93</v>
      </c>
      <c r="P122" s="173">
        <v>6038.6</v>
      </c>
      <c r="Q122" s="173">
        <v>6015.39</v>
      </c>
      <c r="R122" s="173">
        <v>4237.1000000000004</v>
      </c>
      <c r="S122" s="350"/>
      <c r="T122" s="350">
        <v>72.83</v>
      </c>
      <c r="U122" s="350">
        <v>72.83</v>
      </c>
      <c r="V122" s="350"/>
      <c r="W122" s="352"/>
      <c r="X122" s="353"/>
    </row>
    <row r="123" spans="2:25" ht="69" customHeight="1">
      <c r="B123" s="359" t="s">
        <v>22</v>
      </c>
      <c r="C123" s="42" t="s">
        <v>59</v>
      </c>
      <c r="D123" s="171">
        <v>1</v>
      </c>
      <c r="E123" s="171">
        <v>1</v>
      </c>
      <c r="F123" s="171">
        <v>1</v>
      </c>
      <c r="G123" s="171">
        <v>1</v>
      </c>
      <c r="H123" s="171">
        <v>1</v>
      </c>
      <c r="I123" s="171">
        <v>1</v>
      </c>
      <c r="J123" s="172" t="s">
        <v>46</v>
      </c>
      <c r="K123" s="172" t="s">
        <v>46</v>
      </c>
      <c r="L123" s="172" t="s">
        <v>46</v>
      </c>
      <c r="M123" s="173">
        <f t="shared" ref="M123:M124" si="64">P123+S123+V123</f>
        <v>466.38</v>
      </c>
      <c r="N123" s="173">
        <f t="shared" si="63"/>
        <v>474.93</v>
      </c>
      <c r="O123" s="173">
        <f t="shared" ref="O123:O124" si="65">R123+U123+X123</f>
        <v>364.22</v>
      </c>
      <c r="P123" s="173">
        <v>466.38</v>
      </c>
      <c r="Q123" s="173">
        <v>466.38</v>
      </c>
      <c r="R123" s="173">
        <v>355.67</v>
      </c>
      <c r="S123" s="350"/>
      <c r="T123" s="350">
        <v>8.5500000000000007</v>
      </c>
      <c r="U123" s="350">
        <v>8.5500000000000007</v>
      </c>
      <c r="V123" s="350"/>
      <c r="W123" s="352"/>
      <c r="X123" s="353"/>
    </row>
    <row r="124" spans="2:25" ht="48" thickBot="1">
      <c r="B124" s="360" t="s">
        <v>23</v>
      </c>
      <c r="C124" s="42" t="s">
        <v>85</v>
      </c>
      <c r="D124" s="174">
        <v>2</v>
      </c>
      <c r="E124" s="174">
        <v>2</v>
      </c>
      <c r="F124" s="174">
        <v>2</v>
      </c>
      <c r="G124" s="174">
        <v>2</v>
      </c>
      <c r="H124" s="174">
        <v>2</v>
      </c>
      <c r="I124" s="174">
        <v>2</v>
      </c>
      <c r="J124" s="175" t="s">
        <v>46</v>
      </c>
      <c r="K124" s="175" t="s">
        <v>46</v>
      </c>
      <c r="L124" s="175" t="s">
        <v>46</v>
      </c>
      <c r="M124" s="173">
        <f t="shared" si="64"/>
        <v>318.89999999999998</v>
      </c>
      <c r="N124" s="173">
        <f t="shared" si="63"/>
        <v>331.23</v>
      </c>
      <c r="O124" s="173">
        <f t="shared" si="65"/>
        <v>273.37</v>
      </c>
      <c r="P124" s="176">
        <v>318.89999999999998</v>
      </c>
      <c r="Q124" s="176">
        <v>331.23</v>
      </c>
      <c r="R124" s="176">
        <v>273.37</v>
      </c>
      <c r="S124" s="354"/>
      <c r="T124" s="354"/>
      <c r="U124" s="354"/>
      <c r="V124" s="354"/>
      <c r="W124" s="355"/>
      <c r="X124" s="356"/>
    </row>
    <row r="125" spans="2:25" ht="26.25" thickBot="1">
      <c r="B125" s="490">
        <v>617</v>
      </c>
    </row>
    <row r="126" spans="2:25">
      <c r="B126" s="643"/>
      <c r="C126" s="646" t="s">
        <v>0</v>
      </c>
      <c r="D126" s="649" t="s">
        <v>38</v>
      </c>
      <c r="E126" s="650"/>
      <c r="F126" s="649" t="s">
        <v>39</v>
      </c>
      <c r="G126" s="650"/>
      <c r="H126" s="649" t="s">
        <v>37</v>
      </c>
      <c r="I126" s="650"/>
      <c r="J126" s="649" t="s">
        <v>74</v>
      </c>
      <c r="K126" s="650"/>
      <c r="L126" s="653"/>
      <c r="M126" s="649" t="s">
        <v>36</v>
      </c>
      <c r="N126" s="650"/>
      <c r="O126" s="653"/>
      <c r="P126" s="646" t="s">
        <v>32</v>
      </c>
      <c r="Q126" s="646"/>
      <c r="R126" s="646"/>
      <c r="S126" s="646"/>
      <c r="T126" s="646"/>
      <c r="U126" s="646"/>
      <c r="V126" s="646"/>
      <c r="W126" s="657"/>
      <c r="X126" s="658"/>
    </row>
    <row r="127" spans="2:25">
      <c r="B127" s="644"/>
      <c r="C127" s="647"/>
      <c r="D127" s="651"/>
      <c r="E127" s="652"/>
      <c r="F127" s="651"/>
      <c r="G127" s="652"/>
      <c r="H127" s="651"/>
      <c r="I127" s="652"/>
      <c r="J127" s="654"/>
      <c r="K127" s="655"/>
      <c r="L127" s="656"/>
      <c r="M127" s="654"/>
      <c r="N127" s="655"/>
      <c r="O127" s="656"/>
      <c r="P127" s="647" t="s">
        <v>53</v>
      </c>
      <c r="Q127" s="647"/>
      <c r="R127" s="647"/>
      <c r="S127" s="647" t="s">
        <v>54</v>
      </c>
      <c r="T127" s="647"/>
      <c r="U127" s="647"/>
      <c r="V127" s="647" t="s">
        <v>55</v>
      </c>
      <c r="W127" s="647"/>
      <c r="X127" s="659"/>
    </row>
    <row r="128" spans="2:25" ht="79.5" thickBot="1">
      <c r="B128" s="645"/>
      <c r="C128" s="648"/>
      <c r="D128" s="64" t="s">
        <v>47</v>
      </c>
      <c r="E128" s="64" t="s">
        <v>14</v>
      </c>
      <c r="F128" s="64" t="s">
        <v>49</v>
      </c>
      <c r="G128" s="64" t="s">
        <v>14</v>
      </c>
      <c r="H128" s="64" t="s">
        <v>49</v>
      </c>
      <c r="I128" s="64" t="s">
        <v>14</v>
      </c>
      <c r="J128" s="64" t="s">
        <v>48</v>
      </c>
      <c r="K128" s="64" t="s">
        <v>19</v>
      </c>
      <c r="L128" s="64" t="s">
        <v>31</v>
      </c>
      <c r="M128" s="64" t="s">
        <v>48</v>
      </c>
      <c r="N128" s="64" t="s">
        <v>19</v>
      </c>
      <c r="O128" s="64" t="s">
        <v>31</v>
      </c>
      <c r="P128" s="64" t="s">
        <v>48</v>
      </c>
      <c r="Q128" s="64" t="s">
        <v>19</v>
      </c>
      <c r="R128" s="64" t="s">
        <v>31</v>
      </c>
      <c r="S128" s="64" t="s">
        <v>48</v>
      </c>
      <c r="T128" s="64" t="s">
        <v>19</v>
      </c>
      <c r="U128" s="64" t="s">
        <v>31</v>
      </c>
      <c r="V128" s="64" t="s">
        <v>48</v>
      </c>
      <c r="W128" s="64" t="s">
        <v>19</v>
      </c>
      <c r="X128" s="36" t="s">
        <v>31</v>
      </c>
    </row>
    <row r="129" spans="2:24" ht="16.5" thickBot="1">
      <c r="B129" s="357">
        <v>1</v>
      </c>
      <c r="C129" s="37">
        <v>2</v>
      </c>
      <c r="D129" s="37">
        <v>3</v>
      </c>
      <c r="E129" s="38">
        <v>4</v>
      </c>
      <c r="F129" s="37">
        <v>5</v>
      </c>
      <c r="G129" s="37">
        <v>6</v>
      </c>
      <c r="H129" s="38">
        <v>7</v>
      </c>
      <c r="I129" s="37">
        <v>8</v>
      </c>
      <c r="J129" s="37">
        <v>9</v>
      </c>
      <c r="K129" s="38">
        <v>10</v>
      </c>
      <c r="L129" s="37">
        <v>11</v>
      </c>
      <c r="M129" s="37">
        <v>12</v>
      </c>
      <c r="N129" s="38">
        <v>13</v>
      </c>
      <c r="O129" s="37">
        <v>14</v>
      </c>
      <c r="P129" s="37">
        <v>15</v>
      </c>
      <c r="Q129" s="38">
        <v>16</v>
      </c>
      <c r="R129" s="37">
        <v>17</v>
      </c>
      <c r="S129" s="37">
        <v>18</v>
      </c>
      <c r="T129" s="38">
        <v>19</v>
      </c>
      <c r="U129" s="37">
        <v>20</v>
      </c>
      <c r="V129" s="37">
        <v>21</v>
      </c>
      <c r="W129" s="38">
        <v>22</v>
      </c>
      <c r="X129" s="39">
        <v>23</v>
      </c>
    </row>
    <row r="130" spans="2:24" ht="31.5">
      <c r="B130" s="358" t="s">
        <v>1</v>
      </c>
      <c r="C130" s="40" t="s">
        <v>56</v>
      </c>
      <c r="D130" s="496">
        <v>58</v>
      </c>
      <c r="E130" s="496">
        <v>58</v>
      </c>
      <c r="F130" s="496">
        <f>F131+F132+F133+F134</f>
        <v>58</v>
      </c>
      <c r="G130" s="496">
        <v>54</v>
      </c>
      <c r="H130" s="496">
        <f>H131+H132+H133+H134</f>
        <v>58</v>
      </c>
      <c r="I130" s="496">
        <v>54</v>
      </c>
      <c r="J130" s="497">
        <v>40135.160000000003</v>
      </c>
      <c r="K130" s="497">
        <v>40660.300000000003</v>
      </c>
      <c r="L130" s="498">
        <v>25976.06</v>
      </c>
      <c r="M130" s="498">
        <f ca="1">P130+S130</f>
        <v>27811.760000000002</v>
      </c>
      <c r="N130" s="498">
        <f t="shared" ref="N130:O130" si="66">Q130+T130</f>
        <v>28215.08</v>
      </c>
      <c r="O130" s="498">
        <f t="shared" si="66"/>
        <v>18214.960000000003</v>
      </c>
      <c r="P130" s="498">
        <f t="shared" ref="P130:U130" ca="1" si="67">P132+P133+P134</f>
        <v>26816.070000000003</v>
      </c>
      <c r="Q130" s="498">
        <f t="shared" si="67"/>
        <v>26881.49</v>
      </c>
      <c r="R130" s="498">
        <f t="shared" si="67"/>
        <v>17222.640000000003</v>
      </c>
      <c r="S130" s="498">
        <f t="shared" si="67"/>
        <v>995.69</v>
      </c>
      <c r="T130" s="498">
        <f t="shared" si="67"/>
        <v>1333.5900000000001</v>
      </c>
      <c r="U130" s="498">
        <f t="shared" si="67"/>
        <v>992.31999999999994</v>
      </c>
      <c r="V130" s="496">
        <f>V131+V132+V133+V134</f>
        <v>0</v>
      </c>
      <c r="W130" s="496">
        <f>W131+W132+W133+W134</f>
        <v>0</v>
      </c>
      <c r="X130" s="499">
        <f>X131+X132+X133+X134</f>
        <v>0</v>
      </c>
    </row>
    <row r="131" spans="2:24" ht="31.5">
      <c r="B131" s="359" t="s">
        <v>20</v>
      </c>
      <c r="C131" s="42" t="s">
        <v>57</v>
      </c>
      <c r="D131" s="493"/>
      <c r="E131" s="493"/>
      <c r="F131" s="493"/>
      <c r="G131" s="493"/>
      <c r="H131" s="493"/>
      <c r="I131" s="493"/>
      <c r="J131" s="295" t="s">
        <v>46</v>
      </c>
      <c r="K131" s="295" t="s">
        <v>46</v>
      </c>
      <c r="L131" s="295" t="s">
        <v>46</v>
      </c>
      <c r="M131" s="500">
        <f>P131+S131+V131</f>
        <v>0</v>
      </c>
      <c r="N131" s="500">
        <f>Q131+T131+W131</f>
        <v>0</v>
      </c>
      <c r="O131" s="500">
        <v>0</v>
      </c>
      <c r="P131" s="494"/>
      <c r="Q131" s="566"/>
      <c r="R131" s="494"/>
      <c r="S131" s="501"/>
      <c r="T131" s="501"/>
      <c r="U131" s="494"/>
      <c r="V131" s="493"/>
      <c r="W131" s="493"/>
      <c r="X131" s="502"/>
    </row>
    <row r="132" spans="2:24" ht="23.25">
      <c r="B132" s="359" t="s">
        <v>21</v>
      </c>
      <c r="C132" s="42" t="s">
        <v>58</v>
      </c>
      <c r="D132" s="493">
        <v>36</v>
      </c>
      <c r="E132" s="493">
        <v>36</v>
      </c>
      <c r="F132" s="493">
        <v>36</v>
      </c>
      <c r="G132" s="503">
        <v>32</v>
      </c>
      <c r="H132" s="503">
        <v>36</v>
      </c>
      <c r="I132" s="503">
        <v>32</v>
      </c>
      <c r="J132" s="295" t="s">
        <v>46</v>
      </c>
      <c r="K132" s="295" t="s">
        <v>46</v>
      </c>
      <c r="L132" s="295" t="s">
        <v>46</v>
      </c>
      <c r="M132" s="500">
        <f ca="1">P132+S132</f>
        <v>19660.21</v>
      </c>
      <c r="N132" s="500">
        <f t="shared" ref="N132:O132" si="68">Q132+T132</f>
        <v>19906.46</v>
      </c>
      <c r="O132" s="500">
        <f t="shared" si="68"/>
        <v>12043.79</v>
      </c>
      <c r="P132" s="500">
        <f ca="1">M132-S132</f>
        <v>18664.52</v>
      </c>
      <c r="Q132" s="500">
        <v>18664.52</v>
      </c>
      <c r="R132" s="500">
        <v>11143.12</v>
      </c>
      <c r="S132" s="501">
        <v>995.69</v>
      </c>
      <c r="T132" s="501">
        <v>1241.94</v>
      </c>
      <c r="U132" s="494">
        <v>900.67</v>
      </c>
      <c r="V132" s="493"/>
      <c r="W132" s="504"/>
      <c r="X132" s="505"/>
    </row>
    <row r="133" spans="2:24" ht="63">
      <c r="B133" s="359" t="s">
        <v>22</v>
      </c>
      <c r="C133" s="42" t="s">
        <v>59</v>
      </c>
      <c r="D133" s="493">
        <v>16</v>
      </c>
      <c r="E133" s="493">
        <v>16</v>
      </c>
      <c r="F133" s="493">
        <v>16</v>
      </c>
      <c r="G133" s="493">
        <v>16</v>
      </c>
      <c r="H133" s="493">
        <v>16</v>
      </c>
      <c r="I133" s="493">
        <v>16</v>
      </c>
      <c r="J133" s="295" t="s">
        <v>46</v>
      </c>
      <c r="K133" s="295" t="s">
        <v>46</v>
      </c>
      <c r="L133" s="295" t="s">
        <v>46</v>
      </c>
      <c r="M133" s="500">
        <f t="shared" ref="M133:M134" si="69">P133+S133</f>
        <v>7117.49</v>
      </c>
      <c r="N133" s="500">
        <f t="shared" ref="N133:N134" si="70">Q133+T133</f>
        <v>7274.56</v>
      </c>
      <c r="O133" s="500">
        <f t="shared" ref="O133:O134" si="71">R133+U133</f>
        <v>5217.8100000000004</v>
      </c>
      <c r="P133" s="500">
        <v>7117.49</v>
      </c>
      <c r="Q133" s="567">
        <f>7274.56-91.65</f>
        <v>7182.9100000000008</v>
      </c>
      <c r="R133" s="500">
        <f>5217.81-91.65</f>
        <v>5126.1600000000008</v>
      </c>
      <c r="S133" s="493"/>
      <c r="T133" s="493">
        <v>91.65</v>
      </c>
      <c r="U133" s="493">
        <v>91.65</v>
      </c>
      <c r="V133" s="493"/>
      <c r="W133" s="504"/>
      <c r="X133" s="505"/>
    </row>
    <row r="134" spans="2:24" ht="48" thickBot="1">
      <c r="B134" s="360" t="s">
        <v>23</v>
      </c>
      <c r="C134" s="42" t="s">
        <v>85</v>
      </c>
      <c r="D134" s="506">
        <v>6</v>
      </c>
      <c r="E134" s="506">
        <v>6</v>
      </c>
      <c r="F134" s="506">
        <v>6</v>
      </c>
      <c r="G134" s="506">
        <v>6</v>
      </c>
      <c r="H134" s="506">
        <v>6</v>
      </c>
      <c r="I134" s="506">
        <v>6</v>
      </c>
      <c r="J134" s="495" t="s">
        <v>46</v>
      </c>
      <c r="K134" s="495" t="s">
        <v>46</v>
      </c>
      <c r="L134" s="495" t="s">
        <v>46</v>
      </c>
      <c r="M134" s="500">
        <f t="shared" si="69"/>
        <v>1034.06</v>
      </c>
      <c r="N134" s="500">
        <f t="shared" si="70"/>
        <v>1034.06</v>
      </c>
      <c r="O134" s="500">
        <f t="shared" si="71"/>
        <v>953.36</v>
      </c>
      <c r="P134" s="507">
        <v>1034.06</v>
      </c>
      <c r="Q134" s="568">
        <v>1034.06</v>
      </c>
      <c r="R134" s="507">
        <v>953.36</v>
      </c>
      <c r="S134" s="506"/>
      <c r="T134" s="506"/>
      <c r="U134" s="506"/>
      <c r="V134" s="506"/>
      <c r="W134" s="508"/>
      <c r="X134" s="509"/>
    </row>
    <row r="135" spans="2:24" ht="24.75" customHeight="1" thickBot="1">
      <c r="B135" s="469">
        <v>618</v>
      </c>
    </row>
    <row r="136" spans="2:24">
      <c r="B136" s="643"/>
      <c r="C136" s="646" t="s">
        <v>0</v>
      </c>
      <c r="D136" s="649" t="s">
        <v>38</v>
      </c>
      <c r="E136" s="650"/>
      <c r="F136" s="649" t="s">
        <v>39</v>
      </c>
      <c r="G136" s="650"/>
      <c r="H136" s="649" t="s">
        <v>37</v>
      </c>
      <c r="I136" s="650"/>
      <c r="J136" s="649" t="s">
        <v>74</v>
      </c>
      <c r="K136" s="650"/>
      <c r="L136" s="653"/>
      <c r="M136" s="649" t="s">
        <v>36</v>
      </c>
      <c r="N136" s="650"/>
      <c r="O136" s="653"/>
      <c r="P136" s="646" t="s">
        <v>32</v>
      </c>
      <c r="Q136" s="646"/>
      <c r="R136" s="646"/>
      <c r="S136" s="646"/>
      <c r="T136" s="646"/>
      <c r="U136" s="646"/>
      <c r="V136" s="646"/>
      <c r="W136" s="657"/>
      <c r="X136" s="658"/>
    </row>
    <row r="137" spans="2:24">
      <c r="B137" s="644"/>
      <c r="C137" s="647"/>
      <c r="D137" s="651"/>
      <c r="E137" s="652"/>
      <c r="F137" s="651"/>
      <c r="G137" s="652"/>
      <c r="H137" s="651"/>
      <c r="I137" s="652"/>
      <c r="J137" s="654"/>
      <c r="K137" s="655"/>
      <c r="L137" s="656"/>
      <c r="M137" s="654"/>
      <c r="N137" s="655"/>
      <c r="O137" s="656"/>
      <c r="P137" s="647" t="s">
        <v>53</v>
      </c>
      <c r="Q137" s="647"/>
      <c r="R137" s="647"/>
      <c r="S137" s="647" t="s">
        <v>54</v>
      </c>
      <c r="T137" s="647"/>
      <c r="U137" s="647"/>
      <c r="V137" s="647" t="s">
        <v>55</v>
      </c>
      <c r="W137" s="647"/>
      <c r="X137" s="659"/>
    </row>
    <row r="138" spans="2:24" ht="79.5" thickBot="1">
      <c r="B138" s="645"/>
      <c r="C138" s="648"/>
      <c r="D138" s="48" t="s">
        <v>106</v>
      </c>
      <c r="E138" s="48" t="s">
        <v>14</v>
      </c>
      <c r="F138" s="48" t="s">
        <v>107</v>
      </c>
      <c r="G138" s="48" t="s">
        <v>14</v>
      </c>
      <c r="H138" s="48" t="s">
        <v>49</v>
      </c>
      <c r="I138" s="48" t="s">
        <v>14</v>
      </c>
      <c r="J138" s="48" t="s">
        <v>48</v>
      </c>
      <c r="K138" s="48" t="s">
        <v>19</v>
      </c>
      <c r="L138" s="48" t="s">
        <v>31</v>
      </c>
      <c r="M138" s="48" t="s">
        <v>48</v>
      </c>
      <c r="N138" s="48" t="s">
        <v>19</v>
      </c>
      <c r="O138" s="48" t="s">
        <v>31</v>
      </c>
      <c r="P138" s="48" t="s">
        <v>48</v>
      </c>
      <c r="Q138" s="48" t="s">
        <v>19</v>
      </c>
      <c r="R138" s="48" t="s">
        <v>31</v>
      </c>
      <c r="S138" s="48" t="s">
        <v>48</v>
      </c>
      <c r="T138" s="48" t="s">
        <v>19</v>
      </c>
      <c r="U138" s="48" t="s">
        <v>31</v>
      </c>
      <c r="V138" s="48" t="s">
        <v>48</v>
      </c>
      <c r="W138" s="48" t="s">
        <v>19</v>
      </c>
      <c r="X138" s="36" t="s">
        <v>31</v>
      </c>
    </row>
    <row r="139" spans="2:24" ht="16.5" thickBot="1">
      <c r="B139" s="357">
        <v>1</v>
      </c>
      <c r="C139" s="37">
        <v>2</v>
      </c>
      <c r="D139" s="37">
        <v>3</v>
      </c>
      <c r="E139" s="38">
        <v>4</v>
      </c>
      <c r="F139" s="37">
        <v>5</v>
      </c>
      <c r="G139" s="37">
        <v>6</v>
      </c>
      <c r="H139" s="38">
        <v>7</v>
      </c>
      <c r="I139" s="37">
        <v>8</v>
      </c>
      <c r="J139" s="37">
        <v>9</v>
      </c>
      <c r="K139" s="38">
        <v>10</v>
      </c>
      <c r="L139" s="37">
        <v>11</v>
      </c>
      <c r="M139" s="37">
        <v>12</v>
      </c>
      <c r="N139" s="38">
        <v>13</v>
      </c>
      <c r="O139" s="37">
        <v>14</v>
      </c>
      <c r="P139" s="37">
        <v>15</v>
      </c>
      <c r="Q139" s="38">
        <v>16</v>
      </c>
      <c r="R139" s="37">
        <v>17</v>
      </c>
      <c r="S139" s="37">
        <v>18</v>
      </c>
      <c r="T139" s="38">
        <v>19</v>
      </c>
      <c r="U139" s="37">
        <v>20</v>
      </c>
      <c r="V139" s="37">
        <v>21</v>
      </c>
      <c r="W139" s="38">
        <v>22</v>
      </c>
      <c r="X139" s="39">
        <v>23</v>
      </c>
    </row>
    <row r="140" spans="2:24" ht="31.5">
      <c r="B140" s="358" t="s">
        <v>1</v>
      </c>
      <c r="C140" s="40" t="s">
        <v>56</v>
      </c>
      <c r="D140" s="604">
        <f>D141+D142+D143+D144</f>
        <v>54</v>
      </c>
      <c r="E140" s="604">
        <f>E141+E142+E143+E144</f>
        <v>54</v>
      </c>
      <c r="F140" s="604">
        <v>54</v>
      </c>
      <c r="G140" s="604">
        <v>54</v>
      </c>
      <c r="H140" s="604">
        <v>54</v>
      </c>
      <c r="I140" s="604">
        <v>54</v>
      </c>
      <c r="J140" s="612">
        <v>37225.56</v>
      </c>
      <c r="K140" s="612">
        <v>37842.449999999997</v>
      </c>
      <c r="L140" s="612">
        <v>25972.44</v>
      </c>
      <c r="M140" s="612">
        <f t="shared" ref="M140:U140" si="72">M142+M143+M144</f>
        <v>25533.579999999998</v>
      </c>
      <c r="N140" s="612">
        <f>N142+N143+N144</f>
        <v>25977.39</v>
      </c>
      <c r="O140" s="612">
        <f>O142+O143+O144</f>
        <v>18041.019999999997</v>
      </c>
      <c r="P140" s="612">
        <f t="shared" si="72"/>
        <v>24353.87</v>
      </c>
      <c r="Q140" s="612">
        <f>Q142+Q143+Q144</f>
        <v>24493.579999999998</v>
      </c>
      <c r="R140" s="612">
        <f t="shared" si="72"/>
        <v>16946.259999999998</v>
      </c>
      <c r="S140" s="612">
        <f t="shared" si="72"/>
        <v>1179.71</v>
      </c>
      <c r="T140" s="612">
        <f t="shared" si="72"/>
        <v>1483.8100000000002</v>
      </c>
      <c r="U140" s="612">
        <f t="shared" si="72"/>
        <v>1094.76</v>
      </c>
      <c r="V140" s="604">
        <f>V141+V142+V143+V144</f>
        <v>0</v>
      </c>
      <c r="W140" s="604">
        <f>W141+W142+W143+W144</f>
        <v>0</v>
      </c>
      <c r="X140" s="605">
        <f>X141+X142+X143+X144</f>
        <v>0</v>
      </c>
    </row>
    <row r="141" spans="2:24" ht="31.5">
      <c r="B141" s="359" t="s">
        <v>20</v>
      </c>
      <c r="C141" s="42" t="s">
        <v>57</v>
      </c>
      <c r="D141" s="602"/>
      <c r="E141" s="602"/>
      <c r="F141" s="602"/>
      <c r="G141" s="602"/>
      <c r="H141" s="602"/>
      <c r="I141" s="602"/>
      <c r="J141" s="613" t="s">
        <v>46</v>
      </c>
      <c r="K141" s="613" t="s">
        <v>46</v>
      </c>
      <c r="L141" s="613" t="s">
        <v>46</v>
      </c>
      <c r="M141" s="614">
        <f>P141+S141+V141</f>
        <v>0</v>
      </c>
      <c r="N141" s="614">
        <f>Q141+T141+W141</f>
        <v>0</v>
      </c>
      <c r="O141" s="614">
        <f>R141+U141+X141</f>
        <v>0</v>
      </c>
      <c r="P141" s="613"/>
      <c r="Q141" s="613"/>
      <c r="R141" s="613"/>
      <c r="S141" s="613"/>
      <c r="T141" s="613"/>
      <c r="U141" s="613"/>
      <c r="V141" s="603"/>
      <c r="W141" s="602"/>
      <c r="X141" s="606"/>
    </row>
    <row r="142" spans="2:24" ht="23.25">
      <c r="B142" s="359" t="s">
        <v>21</v>
      </c>
      <c r="C142" s="42" t="s">
        <v>58</v>
      </c>
      <c r="D142" s="602">
        <v>37</v>
      </c>
      <c r="E142" s="602">
        <v>37</v>
      </c>
      <c r="F142" s="602">
        <v>37</v>
      </c>
      <c r="G142" s="602">
        <v>37</v>
      </c>
      <c r="H142" s="602">
        <v>37</v>
      </c>
      <c r="I142" s="602">
        <v>37</v>
      </c>
      <c r="J142" s="613" t="s">
        <v>46</v>
      </c>
      <c r="K142" s="613" t="s">
        <v>46</v>
      </c>
      <c r="L142" s="613" t="s">
        <v>46</v>
      </c>
      <c r="M142" s="614">
        <f t="shared" ref="M142:O143" si="73">P142+S142</f>
        <v>20183.099999999999</v>
      </c>
      <c r="N142" s="614">
        <f t="shared" si="73"/>
        <v>20407.73</v>
      </c>
      <c r="O142" s="614">
        <f t="shared" si="73"/>
        <v>14142.3</v>
      </c>
      <c r="P142" s="613">
        <v>19003.39</v>
      </c>
      <c r="Q142" s="613">
        <v>18973.39</v>
      </c>
      <c r="R142" s="613">
        <v>13097.01</v>
      </c>
      <c r="S142" s="613">
        <v>1179.71</v>
      </c>
      <c r="T142" s="613">
        <f>1179.71+254.63</f>
        <v>1434.3400000000001</v>
      </c>
      <c r="U142" s="613">
        <f>790.66+254.63</f>
        <v>1045.29</v>
      </c>
      <c r="V142" s="603"/>
      <c r="W142" s="607"/>
      <c r="X142" s="608"/>
    </row>
    <row r="143" spans="2:24" ht="63">
      <c r="B143" s="359" t="s">
        <v>22</v>
      </c>
      <c r="C143" s="42" t="s">
        <v>59</v>
      </c>
      <c r="D143" s="602">
        <v>9</v>
      </c>
      <c r="E143" s="602">
        <v>10</v>
      </c>
      <c r="F143" s="602">
        <v>9</v>
      </c>
      <c r="G143" s="602">
        <v>10</v>
      </c>
      <c r="H143" s="602">
        <v>9</v>
      </c>
      <c r="I143" s="602">
        <v>10</v>
      </c>
      <c r="J143" s="613" t="s">
        <v>46</v>
      </c>
      <c r="K143" s="613" t="s">
        <v>46</v>
      </c>
      <c r="L143" s="613" t="s">
        <v>46</v>
      </c>
      <c r="M143" s="614">
        <f t="shared" si="73"/>
        <v>4024.87</v>
      </c>
      <c r="N143" s="614">
        <f t="shared" si="73"/>
        <v>4324.21</v>
      </c>
      <c r="O143" s="614">
        <f t="shared" si="73"/>
        <v>2930.9599999999996</v>
      </c>
      <c r="P143" s="613">
        <v>4024.87</v>
      </c>
      <c r="Q143" s="613">
        <v>4274.74</v>
      </c>
      <c r="R143" s="613">
        <v>2881.49</v>
      </c>
      <c r="S143" s="613">
        <v>0</v>
      </c>
      <c r="T143" s="613">
        <v>49.47</v>
      </c>
      <c r="U143" s="613">
        <v>49.47</v>
      </c>
      <c r="V143" s="602"/>
      <c r="W143" s="607"/>
      <c r="X143" s="608"/>
    </row>
    <row r="144" spans="2:24" ht="48" thickBot="1">
      <c r="B144" s="360" t="s">
        <v>23</v>
      </c>
      <c r="C144" s="42" t="s">
        <v>85</v>
      </c>
      <c r="D144" s="609">
        <v>8</v>
      </c>
      <c r="E144" s="609">
        <v>7</v>
      </c>
      <c r="F144" s="609">
        <v>8</v>
      </c>
      <c r="G144" s="609">
        <v>7</v>
      </c>
      <c r="H144" s="609">
        <v>8</v>
      </c>
      <c r="I144" s="609">
        <v>7</v>
      </c>
      <c r="J144" s="615" t="s">
        <v>46</v>
      </c>
      <c r="K144" s="615" t="s">
        <v>46</v>
      </c>
      <c r="L144" s="615" t="s">
        <v>46</v>
      </c>
      <c r="M144" s="616">
        <f>P144</f>
        <v>1325.61</v>
      </c>
      <c r="N144" s="616">
        <f>Q144</f>
        <v>1245.45</v>
      </c>
      <c r="O144" s="616">
        <f>R144</f>
        <v>967.76</v>
      </c>
      <c r="P144" s="615">
        <v>1325.61</v>
      </c>
      <c r="Q144" s="615">
        <v>1245.45</v>
      </c>
      <c r="R144" s="615">
        <v>967.76</v>
      </c>
      <c r="S144" s="615">
        <v>0</v>
      </c>
      <c r="T144" s="615">
        <v>0</v>
      </c>
      <c r="U144" s="615">
        <v>0</v>
      </c>
      <c r="V144" s="609"/>
      <c r="W144" s="610"/>
      <c r="X144" s="611"/>
    </row>
    <row r="145" spans="2:24" ht="26.25" thickBot="1">
      <c r="B145" s="220">
        <v>619</v>
      </c>
    </row>
    <row r="146" spans="2:24">
      <c r="B146" s="643"/>
      <c r="C146" s="646" t="s">
        <v>0</v>
      </c>
      <c r="D146" s="649" t="s">
        <v>38</v>
      </c>
      <c r="E146" s="650"/>
      <c r="F146" s="649" t="s">
        <v>39</v>
      </c>
      <c r="G146" s="650"/>
      <c r="H146" s="649" t="s">
        <v>37</v>
      </c>
      <c r="I146" s="650"/>
      <c r="J146" s="649" t="s">
        <v>74</v>
      </c>
      <c r="K146" s="650"/>
      <c r="L146" s="653"/>
      <c r="M146" s="649" t="s">
        <v>36</v>
      </c>
      <c r="N146" s="650"/>
      <c r="O146" s="653"/>
      <c r="P146" s="646" t="s">
        <v>32</v>
      </c>
      <c r="Q146" s="646"/>
      <c r="R146" s="646"/>
      <c r="S146" s="646"/>
      <c r="T146" s="646"/>
      <c r="U146" s="646"/>
      <c r="V146" s="646"/>
      <c r="W146" s="657"/>
      <c r="X146" s="658"/>
    </row>
    <row r="147" spans="2:24">
      <c r="B147" s="644"/>
      <c r="C147" s="647"/>
      <c r="D147" s="651"/>
      <c r="E147" s="652"/>
      <c r="F147" s="651"/>
      <c r="G147" s="652"/>
      <c r="H147" s="651"/>
      <c r="I147" s="652"/>
      <c r="J147" s="654"/>
      <c r="K147" s="655"/>
      <c r="L147" s="656"/>
      <c r="M147" s="654"/>
      <c r="N147" s="655"/>
      <c r="O147" s="656"/>
      <c r="P147" s="647" t="s">
        <v>53</v>
      </c>
      <c r="Q147" s="647"/>
      <c r="R147" s="647"/>
      <c r="S147" s="647" t="s">
        <v>54</v>
      </c>
      <c r="T147" s="647"/>
      <c r="U147" s="647"/>
      <c r="V147" s="647" t="s">
        <v>55</v>
      </c>
      <c r="W147" s="647"/>
      <c r="X147" s="659"/>
    </row>
    <row r="148" spans="2:24" ht="79.5" thickBot="1">
      <c r="B148" s="645"/>
      <c r="C148" s="648"/>
      <c r="D148" s="48" t="s">
        <v>47</v>
      </c>
      <c r="E148" s="48" t="s">
        <v>14</v>
      </c>
      <c r="F148" s="48" t="s">
        <v>49</v>
      </c>
      <c r="G148" s="48" t="s">
        <v>14</v>
      </c>
      <c r="H148" s="48" t="s">
        <v>49</v>
      </c>
      <c r="I148" s="48" t="s">
        <v>14</v>
      </c>
      <c r="J148" s="48" t="s">
        <v>48</v>
      </c>
      <c r="K148" s="48" t="s">
        <v>19</v>
      </c>
      <c r="L148" s="48" t="s">
        <v>31</v>
      </c>
      <c r="M148" s="48" t="s">
        <v>48</v>
      </c>
      <c r="N148" s="48" t="s">
        <v>19</v>
      </c>
      <c r="O148" s="48" t="s">
        <v>31</v>
      </c>
      <c r="P148" s="48" t="s">
        <v>48</v>
      </c>
      <c r="Q148" s="48" t="s">
        <v>19</v>
      </c>
      <c r="R148" s="48" t="s">
        <v>31</v>
      </c>
      <c r="S148" s="48" t="s">
        <v>48</v>
      </c>
      <c r="T148" s="48" t="s">
        <v>19</v>
      </c>
      <c r="U148" s="48" t="s">
        <v>31</v>
      </c>
      <c r="V148" s="48" t="s">
        <v>48</v>
      </c>
      <c r="W148" s="48" t="s">
        <v>19</v>
      </c>
      <c r="X148" s="36" t="s">
        <v>31</v>
      </c>
    </row>
    <row r="149" spans="2:24" ht="16.5" thickBot="1">
      <c r="B149" s="357">
        <v>1</v>
      </c>
      <c r="C149" s="37">
        <v>2</v>
      </c>
      <c r="D149" s="37">
        <v>3</v>
      </c>
      <c r="E149" s="38">
        <v>4</v>
      </c>
      <c r="F149" s="37">
        <v>5</v>
      </c>
      <c r="G149" s="37">
        <v>6</v>
      </c>
      <c r="H149" s="38">
        <v>7</v>
      </c>
      <c r="I149" s="37">
        <v>8</v>
      </c>
      <c r="J149" s="37">
        <v>9</v>
      </c>
      <c r="K149" s="38">
        <v>10</v>
      </c>
      <c r="L149" s="37">
        <v>11</v>
      </c>
      <c r="M149" s="37">
        <v>12</v>
      </c>
      <c r="N149" s="38">
        <v>13</v>
      </c>
      <c r="O149" s="37">
        <v>14</v>
      </c>
      <c r="P149" s="37">
        <v>15</v>
      </c>
      <c r="Q149" s="38">
        <v>16</v>
      </c>
      <c r="R149" s="37">
        <v>17</v>
      </c>
      <c r="S149" s="37">
        <v>18</v>
      </c>
      <c r="T149" s="38">
        <v>19</v>
      </c>
      <c r="U149" s="37">
        <v>20</v>
      </c>
      <c r="V149" s="37">
        <v>21</v>
      </c>
      <c r="W149" s="38">
        <v>22</v>
      </c>
      <c r="X149" s="39">
        <v>23</v>
      </c>
    </row>
    <row r="150" spans="2:24" ht="31.5">
      <c r="B150" s="358" t="s">
        <v>1</v>
      </c>
      <c r="C150" s="40" t="s">
        <v>56</v>
      </c>
      <c r="D150" s="240">
        <f t="shared" ref="D150:I150" si="74">D151+D152+D153+D154</f>
        <v>76</v>
      </c>
      <c r="E150" s="240">
        <f t="shared" si="74"/>
        <v>77</v>
      </c>
      <c r="F150" s="240">
        <f t="shared" si="74"/>
        <v>75</v>
      </c>
      <c r="G150" s="240">
        <f t="shared" si="74"/>
        <v>77</v>
      </c>
      <c r="H150" s="240">
        <f t="shared" si="74"/>
        <v>75</v>
      </c>
      <c r="I150" s="240">
        <f t="shared" si="74"/>
        <v>77</v>
      </c>
      <c r="J150" s="241">
        <v>52004.65</v>
      </c>
      <c r="K150" s="241">
        <f>52715.72+563.1</f>
        <v>53278.82</v>
      </c>
      <c r="L150" s="241">
        <f>33438.62+563.1</f>
        <v>34001.72</v>
      </c>
      <c r="M150" s="241">
        <f t="shared" ref="M150:R150" si="75">M152+M153+M154</f>
        <v>35803.089999999997</v>
      </c>
      <c r="N150" s="241">
        <f t="shared" si="75"/>
        <v>36570.71</v>
      </c>
      <c r="O150" s="241">
        <f t="shared" si="75"/>
        <v>24259.32</v>
      </c>
      <c r="P150" s="241">
        <f t="shared" si="75"/>
        <v>34315.660000000003</v>
      </c>
      <c r="Q150" s="241">
        <f t="shared" si="75"/>
        <v>34650.789999999994</v>
      </c>
      <c r="R150" s="241">
        <f t="shared" si="75"/>
        <v>22959.309999999998</v>
      </c>
      <c r="S150" s="241">
        <f>S152</f>
        <v>1487.43</v>
      </c>
      <c r="T150" s="241">
        <f>T152+T153</f>
        <v>1919.92</v>
      </c>
      <c r="U150" s="241">
        <f>U152+U153</f>
        <v>1300.01</v>
      </c>
      <c r="V150" s="242">
        <v>0</v>
      </c>
      <c r="W150" s="240">
        <v>0</v>
      </c>
      <c r="X150" s="243">
        <f>X151+X152+X153+X154</f>
        <v>0</v>
      </c>
    </row>
    <row r="151" spans="2:24" ht="31.5">
      <c r="B151" s="359" t="s">
        <v>20</v>
      </c>
      <c r="C151" s="42" t="s">
        <v>57</v>
      </c>
      <c r="D151" s="244">
        <v>0</v>
      </c>
      <c r="E151" s="244">
        <v>0</v>
      </c>
      <c r="F151" s="244">
        <v>0</v>
      </c>
      <c r="G151" s="244">
        <v>0</v>
      </c>
      <c r="H151" s="244">
        <v>0</v>
      </c>
      <c r="I151" s="244">
        <v>0</v>
      </c>
      <c r="J151" s="245" t="s">
        <v>46</v>
      </c>
      <c r="K151" s="245" t="s">
        <v>46</v>
      </c>
      <c r="L151" s="245" t="s">
        <v>46</v>
      </c>
      <c r="M151" s="246">
        <f t="shared" ref="M151:O154" si="76">P151+S151</f>
        <v>0</v>
      </c>
      <c r="N151" s="246">
        <f t="shared" si="76"/>
        <v>0</v>
      </c>
      <c r="O151" s="247">
        <f t="shared" si="76"/>
        <v>0</v>
      </c>
      <c r="P151" s="248"/>
      <c r="Q151" s="248"/>
      <c r="R151" s="248"/>
      <c r="S151" s="248">
        <v>0</v>
      </c>
      <c r="T151" s="248">
        <v>0</v>
      </c>
      <c r="U151" s="248">
        <v>0</v>
      </c>
      <c r="V151" s="244">
        <v>0</v>
      </c>
      <c r="W151" s="244">
        <v>0</v>
      </c>
      <c r="X151" s="249">
        <v>0</v>
      </c>
    </row>
    <row r="152" spans="2:24" ht="20.25">
      <c r="B152" s="359" t="s">
        <v>21</v>
      </c>
      <c r="C152" s="42" t="s">
        <v>58</v>
      </c>
      <c r="D152" s="244">
        <v>50</v>
      </c>
      <c r="E152" s="244">
        <v>51</v>
      </c>
      <c r="F152" s="244">
        <v>50</v>
      </c>
      <c r="G152" s="244">
        <v>51</v>
      </c>
      <c r="H152" s="244">
        <v>50</v>
      </c>
      <c r="I152" s="244">
        <v>51</v>
      </c>
      <c r="J152" s="244" t="s">
        <v>46</v>
      </c>
      <c r="K152" s="244" t="s">
        <v>46</v>
      </c>
      <c r="L152" s="244" t="s">
        <v>46</v>
      </c>
      <c r="M152" s="246">
        <f t="shared" si="76"/>
        <v>26248.87</v>
      </c>
      <c r="N152" s="246">
        <f t="shared" si="76"/>
        <v>26942.7</v>
      </c>
      <c r="O152" s="247">
        <f t="shared" si="76"/>
        <v>18197.59</v>
      </c>
      <c r="P152" s="246">
        <v>24761.439999999999</v>
      </c>
      <c r="Q152" s="246">
        <v>25124.09</v>
      </c>
      <c r="R152" s="246">
        <v>16998.89</v>
      </c>
      <c r="S152" s="246">
        <v>1487.43</v>
      </c>
      <c r="T152" s="246">
        <f>1487.43+331.18</f>
        <v>1818.6100000000001</v>
      </c>
      <c r="U152" s="246">
        <f>867.52+331.18</f>
        <v>1198.7</v>
      </c>
      <c r="V152" s="244">
        <v>0</v>
      </c>
      <c r="W152" s="244">
        <v>0</v>
      </c>
      <c r="X152" s="250">
        <v>0</v>
      </c>
    </row>
    <row r="153" spans="2:24" ht="63">
      <c r="B153" s="359" t="s">
        <v>22</v>
      </c>
      <c r="C153" s="42" t="s">
        <v>59</v>
      </c>
      <c r="D153" s="244">
        <v>18</v>
      </c>
      <c r="E153" s="244">
        <v>18</v>
      </c>
      <c r="F153" s="244">
        <v>18</v>
      </c>
      <c r="G153" s="244">
        <v>18</v>
      </c>
      <c r="H153" s="244">
        <v>18</v>
      </c>
      <c r="I153" s="244">
        <v>18</v>
      </c>
      <c r="J153" s="244" t="s">
        <v>46</v>
      </c>
      <c r="K153" s="244" t="s">
        <v>46</v>
      </c>
      <c r="L153" s="244" t="s">
        <v>46</v>
      </c>
      <c r="M153" s="246">
        <f t="shared" si="76"/>
        <v>8248.61</v>
      </c>
      <c r="N153" s="246">
        <f t="shared" si="76"/>
        <v>8324.92</v>
      </c>
      <c r="O153" s="247">
        <f t="shared" si="76"/>
        <v>5027.6500000000005</v>
      </c>
      <c r="P153" s="246">
        <v>8248.61</v>
      </c>
      <c r="Q153" s="246">
        <v>8223.61</v>
      </c>
      <c r="R153" s="246">
        <f>3079.62+1846.72</f>
        <v>4926.34</v>
      </c>
      <c r="S153" s="248">
        <v>0</v>
      </c>
      <c r="T153" s="248">
        <v>101.31</v>
      </c>
      <c r="U153" s="248">
        <v>101.31</v>
      </c>
      <c r="V153" s="244">
        <v>0</v>
      </c>
      <c r="W153" s="244">
        <v>0</v>
      </c>
      <c r="X153" s="250">
        <v>0</v>
      </c>
    </row>
    <row r="154" spans="2:24" ht="48" thickBot="1">
      <c r="B154" s="360" t="s">
        <v>23</v>
      </c>
      <c r="C154" s="42" t="s">
        <v>85</v>
      </c>
      <c r="D154" s="251">
        <v>8</v>
      </c>
      <c r="E154" s="251">
        <v>8</v>
      </c>
      <c r="F154" s="251">
        <v>7</v>
      </c>
      <c r="G154" s="251">
        <v>8</v>
      </c>
      <c r="H154" s="251">
        <v>7</v>
      </c>
      <c r="I154" s="251">
        <v>8</v>
      </c>
      <c r="J154" s="251" t="s">
        <v>46</v>
      </c>
      <c r="K154" s="251" t="s">
        <v>46</v>
      </c>
      <c r="L154" s="251" t="s">
        <v>46</v>
      </c>
      <c r="M154" s="246">
        <f t="shared" si="76"/>
        <v>1305.6099999999999</v>
      </c>
      <c r="N154" s="246">
        <f t="shared" si="76"/>
        <v>1303.0899999999999</v>
      </c>
      <c r="O154" s="247">
        <f t="shared" si="76"/>
        <v>1034.08</v>
      </c>
      <c r="P154" s="246">
        <v>1305.6099999999999</v>
      </c>
      <c r="Q154" s="246">
        <v>1303.0899999999999</v>
      </c>
      <c r="R154" s="246">
        <f>752.95+285.51-4.38</f>
        <v>1034.08</v>
      </c>
      <c r="S154" s="252">
        <v>0</v>
      </c>
      <c r="T154" s="252">
        <v>0</v>
      </c>
      <c r="U154" s="252">
        <v>0</v>
      </c>
      <c r="V154" s="251">
        <v>0</v>
      </c>
      <c r="W154" s="251">
        <v>0</v>
      </c>
      <c r="X154" s="253">
        <v>0</v>
      </c>
    </row>
    <row r="155" spans="2:24" ht="26.25" thickBot="1">
      <c r="B155" s="220">
        <v>620</v>
      </c>
    </row>
    <row r="156" spans="2:24">
      <c r="B156" s="643"/>
      <c r="C156" s="646" t="s">
        <v>0</v>
      </c>
      <c r="D156" s="649" t="s">
        <v>38</v>
      </c>
      <c r="E156" s="650"/>
      <c r="F156" s="649" t="s">
        <v>39</v>
      </c>
      <c r="G156" s="650"/>
      <c r="H156" s="649" t="s">
        <v>37</v>
      </c>
      <c r="I156" s="650"/>
      <c r="J156" s="649" t="s">
        <v>74</v>
      </c>
      <c r="K156" s="650"/>
      <c r="L156" s="653"/>
      <c r="M156" s="649" t="s">
        <v>36</v>
      </c>
      <c r="N156" s="650"/>
      <c r="O156" s="653"/>
      <c r="P156" s="646" t="s">
        <v>32</v>
      </c>
      <c r="Q156" s="646"/>
      <c r="R156" s="646"/>
      <c r="S156" s="646"/>
      <c r="T156" s="646"/>
      <c r="U156" s="646"/>
      <c r="V156" s="646"/>
      <c r="W156" s="657"/>
      <c r="X156" s="658"/>
    </row>
    <row r="157" spans="2:24">
      <c r="B157" s="644"/>
      <c r="C157" s="647"/>
      <c r="D157" s="651"/>
      <c r="E157" s="652"/>
      <c r="F157" s="651"/>
      <c r="G157" s="652"/>
      <c r="H157" s="651"/>
      <c r="I157" s="652"/>
      <c r="J157" s="654"/>
      <c r="K157" s="655"/>
      <c r="L157" s="656"/>
      <c r="M157" s="654"/>
      <c r="N157" s="655"/>
      <c r="O157" s="656"/>
      <c r="P157" s="647" t="s">
        <v>53</v>
      </c>
      <c r="Q157" s="647"/>
      <c r="R157" s="647"/>
      <c r="S157" s="647" t="s">
        <v>54</v>
      </c>
      <c r="T157" s="647"/>
      <c r="U157" s="647"/>
      <c r="V157" s="647" t="s">
        <v>55</v>
      </c>
      <c r="W157" s="647"/>
      <c r="X157" s="659"/>
    </row>
    <row r="158" spans="2:24" ht="79.5" thickBot="1">
      <c r="B158" s="645"/>
      <c r="C158" s="648"/>
      <c r="D158" s="66" t="s">
        <v>106</v>
      </c>
      <c r="E158" s="66" t="s">
        <v>14</v>
      </c>
      <c r="F158" s="66" t="s">
        <v>107</v>
      </c>
      <c r="G158" s="66" t="s">
        <v>14</v>
      </c>
      <c r="H158" s="66" t="s">
        <v>107</v>
      </c>
      <c r="I158" s="66" t="s">
        <v>14</v>
      </c>
      <c r="J158" s="66" t="s">
        <v>108</v>
      </c>
      <c r="K158" s="66" t="s">
        <v>19</v>
      </c>
      <c r="L158" s="66" t="s">
        <v>31</v>
      </c>
      <c r="M158" s="66" t="s">
        <v>108</v>
      </c>
      <c r="N158" s="66" t="s">
        <v>19</v>
      </c>
      <c r="O158" s="66" t="s">
        <v>31</v>
      </c>
      <c r="P158" s="66" t="s">
        <v>108</v>
      </c>
      <c r="Q158" s="66" t="s">
        <v>19</v>
      </c>
      <c r="R158" s="66" t="s">
        <v>31</v>
      </c>
      <c r="S158" s="66" t="s">
        <v>108</v>
      </c>
      <c r="T158" s="66" t="s">
        <v>19</v>
      </c>
      <c r="U158" s="66" t="s">
        <v>31</v>
      </c>
      <c r="V158" s="66" t="s">
        <v>108</v>
      </c>
      <c r="W158" s="66" t="s">
        <v>19</v>
      </c>
      <c r="X158" s="36" t="s">
        <v>31</v>
      </c>
    </row>
    <row r="159" spans="2:24" ht="16.5" thickBot="1">
      <c r="B159" s="357">
        <v>1</v>
      </c>
      <c r="C159" s="37">
        <v>2</v>
      </c>
      <c r="D159" s="37">
        <v>3</v>
      </c>
      <c r="E159" s="38">
        <v>4</v>
      </c>
      <c r="F159" s="37">
        <v>5</v>
      </c>
      <c r="G159" s="37">
        <v>6</v>
      </c>
      <c r="H159" s="38">
        <v>7</v>
      </c>
      <c r="I159" s="37">
        <v>8</v>
      </c>
      <c r="J159" s="37">
        <v>9</v>
      </c>
      <c r="K159" s="38">
        <v>10</v>
      </c>
      <c r="L159" s="37">
        <v>11</v>
      </c>
      <c r="M159" s="37">
        <v>12</v>
      </c>
      <c r="N159" s="38">
        <v>13</v>
      </c>
      <c r="O159" s="37">
        <v>14</v>
      </c>
      <c r="P159" s="37">
        <v>15</v>
      </c>
      <c r="Q159" s="38">
        <v>16</v>
      </c>
      <c r="R159" s="37"/>
      <c r="S159" s="37">
        <v>18</v>
      </c>
      <c r="T159" s="38">
        <v>19</v>
      </c>
      <c r="U159" s="37">
        <v>20</v>
      </c>
      <c r="V159" s="37">
        <v>21</v>
      </c>
      <c r="W159" s="38">
        <v>22</v>
      </c>
      <c r="X159" s="39">
        <v>23</v>
      </c>
    </row>
    <row r="160" spans="2:24" ht="31.5">
      <c r="B160" s="358" t="s">
        <v>1</v>
      </c>
      <c r="C160" s="40" t="s">
        <v>56</v>
      </c>
      <c r="D160" s="221">
        <f>D161+D162+D163+D164</f>
        <v>81</v>
      </c>
      <c r="E160" s="221">
        <f t="shared" ref="E160:I160" si="77">E161+E162+E163+E164</f>
        <v>79</v>
      </c>
      <c r="F160" s="221">
        <f t="shared" si="77"/>
        <v>78</v>
      </c>
      <c r="G160" s="221">
        <f t="shared" si="77"/>
        <v>75</v>
      </c>
      <c r="H160" s="221">
        <f t="shared" si="77"/>
        <v>76</v>
      </c>
      <c r="I160" s="221">
        <f t="shared" si="77"/>
        <v>75</v>
      </c>
      <c r="J160" s="222">
        <v>55457.01</v>
      </c>
      <c r="K160" s="222">
        <v>58853.11</v>
      </c>
      <c r="L160" s="222">
        <v>40822.74</v>
      </c>
      <c r="M160" s="223">
        <f>P160+S160+V160</f>
        <v>37416.769999999997</v>
      </c>
      <c r="N160" s="223">
        <f t="shared" ref="N160:O160" si="78">Q160+T160+W160</f>
        <v>39413.26</v>
      </c>
      <c r="O160" s="223">
        <f t="shared" si="78"/>
        <v>27978.94</v>
      </c>
      <c r="P160" s="223">
        <f>P162+P163+P164</f>
        <v>37416.769999999997</v>
      </c>
      <c r="Q160" s="223">
        <f t="shared" ref="Q160:R160" si="79">Q162+Q163+Q164</f>
        <v>38929.22</v>
      </c>
      <c r="R160" s="223">
        <f t="shared" si="79"/>
        <v>27494.899999999998</v>
      </c>
      <c r="S160" s="223">
        <f t="shared" ref="S160:X160" si="80">S162+S163+S164</f>
        <v>0</v>
      </c>
      <c r="T160" s="223">
        <f t="shared" si="80"/>
        <v>484.04</v>
      </c>
      <c r="U160" s="223">
        <f t="shared" si="80"/>
        <v>484.04</v>
      </c>
      <c r="V160" s="223">
        <f t="shared" si="80"/>
        <v>0</v>
      </c>
      <c r="W160" s="223">
        <f t="shared" si="80"/>
        <v>0</v>
      </c>
      <c r="X160" s="223">
        <f t="shared" si="80"/>
        <v>0</v>
      </c>
    </row>
    <row r="161" spans="2:24" ht="31.5">
      <c r="B161" s="359" t="s">
        <v>20</v>
      </c>
      <c r="C161" s="42" t="s">
        <v>57</v>
      </c>
      <c r="D161" s="326"/>
      <c r="E161" s="326"/>
      <c r="F161" s="326"/>
      <c r="G161" s="327"/>
      <c r="H161" s="327"/>
      <c r="I161" s="327"/>
      <c r="J161" s="326"/>
      <c r="K161" s="326"/>
      <c r="L161" s="326"/>
      <c r="M161" s="223"/>
      <c r="N161" s="326"/>
      <c r="O161" s="326"/>
      <c r="P161" s="328"/>
      <c r="Q161" s="328"/>
      <c r="R161" s="328"/>
      <c r="S161" s="326"/>
      <c r="T161" s="326"/>
      <c r="U161" s="326"/>
      <c r="V161" s="326"/>
      <c r="W161" s="326"/>
      <c r="X161" s="326"/>
    </row>
    <row r="162" spans="2:24" ht="20.25">
      <c r="B162" s="359" t="s">
        <v>21</v>
      </c>
      <c r="C162" s="42" t="s">
        <v>58</v>
      </c>
      <c r="D162" s="598">
        <v>66</v>
      </c>
      <c r="E162" s="598">
        <v>64</v>
      </c>
      <c r="F162" s="598">
        <v>66</v>
      </c>
      <c r="G162" s="598">
        <v>63</v>
      </c>
      <c r="H162" s="598">
        <v>64</v>
      </c>
      <c r="I162" s="598">
        <v>63</v>
      </c>
      <c r="J162" s="599" t="s">
        <v>46</v>
      </c>
      <c r="K162" s="599" t="s">
        <v>46</v>
      </c>
      <c r="L162" s="492" t="s">
        <v>46</v>
      </c>
      <c r="M162" s="600">
        <v>32561.81</v>
      </c>
      <c r="N162" s="600">
        <f>Q162+T162+W152</f>
        <v>34512.990000000005</v>
      </c>
      <c r="O162" s="600">
        <f>R162+U162+X162</f>
        <v>24618.39</v>
      </c>
      <c r="P162" s="600">
        <v>32561.81</v>
      </c>
      <c r="Q162" s="600">
        <v>34074.26</v>
      </c>
      <c r="R162" s="600">
        <v>24179.66</v>
      </c>
      <c r="S162" s="600">
        <v>0</v>
      </c>
      <c r="T162" s="600">
        <v>438.73</v>
      </c>
      <c r="U162" s="600">
        <v>438.73</v>
      </c>
      <c r="V162" s="600">
        <v>0</v>
      </c>
      <c r="W162" s="600">
        <v>0</v>
      </c>
      <c r="X162" s="600">
        <v>0</v>
      </c>
    </row>
    <row r="163" spans="2:24" ht="63">
      <c r="B163" s="359" t="s">
        <v>22</v>
      </c>
      <c r="C163" s="42" t="s">
        <v>59</v>
      </c>
      <c r="D163" s="598">
        <v>8</v>
      </c>
      <c r="E163" s="598">
        <v>8</v>
      </c>
      <c r="F163" s="598">
        <v>8</v>
      </c>
      <c r="G163" s="598">
        <v>8</v>
      </c>
      <c r="H163" s="598">
        <v>8</v>
      </c>
      <c r="I163" s="598">
        <v>8</v>
      </c>
      <c r="J163" s="599" t="s">
        <v>46</v>
      </c>
      <c r="K163" s="599" t="s">
        <v>46</v>
      </c>
      <c r="L163" s="492" t="s">
        <v>46</v>
      </c>
      <c r="M163" s="601">
        <v>3481.01</v>
      </c>
      <c r="N163" s="601">
        <f>Q163+T163+W163</f>
        <v>3526.32</v>
      </c>
      <c r="O163" s="600">
        <f>R163+U163+X163</f>
        <v>2665.59</v>
      </c>
      <c r="P163" s="601">
        <v>3481.01</v>
      </c>
      <c r="Q163" s="601">
        <f>3481.01</f>
        <v>3481.01</v>
      </c>
      <c r="R163" s="600">
        <f>2620.28</f>
        <v>2620.2800000000002</v>
      </c>
      <c r="S163" s="492">
        <v>0</v>
      </c>
      <c r="T163" s="492">
        <v>45.31</v>
      </c>
      <c r="U163" s="492">
        <v>45.31</v>
      </c>
      <c r="V163" s="492">
        <v>0</v>
      </c>
      <c r="W163" s="492">
        <v>0</v>
      </c>
      <c r="X163" s="601">
        <v>0</v>
      </c>
    </row>
    <row r="164" spans="2:24" ht="48" thickBot="1">
      <c r="B164" s="360" t="s">
        <v>23</v>
      </c>
      <c r="C164" s="42" t="s">
        <v>85</v>
      </c>
      <c r="D164" s="598">
        <v>7</v>
      </c>
      <c r="E164" s="598">
        <v>7</v>
      </c>
      <c r="F164" s="598">
        <v>4</v>
      </c>
      <c r="G164" s="598">
        <v>4</v>
      </c>
      <c r="H164" s="598">
        <v>4</v>
      </c>
      <c r="I164" s="598">
        <v>4</v>
      </c>
      <c r="J164" s="599" t="s">
        <v>46</v>
      </c>
      <c r="K164" s="599" t="s">
        <v>46</v>
      </c>
      <c r="L164" s="492" t="s">
        <v>46</v>
      </c>
      <c r="M164" s="600">
        <v>1373.95</v>
      </c>
      <c r="N164" s="600">
        <f>Q164+T164</f>
        <v>1373.95</v>
      </c>
      <c r="O164" s="600">
        <f>R164+U164</f>
        <v>694.96</v>
      </c>
      <c r="P164" s="600">
        <v>1373.95</v>
      </c>
      <c r="Q164" s="600">
        <v>1373.95</v>
      </c>
      <c r="R164" s="600">
        <v>694.96</v>
      </c>
      <c r="S164" s="492">
        <v>0</v>
      </c>
      <c r="T164" s="492">
        <v>0</v>
      </c>
      <c r="U164" s="492">
        <v>0</v>
      </c>
      <c r="V164" s="492">
        <v>0</v>
      </c>
      <c r="W164" s="492">
        <v>0</v>
      </c>
      <c r="X164" s="601">
        <v>0</v>
      </c>
    </row>
    <row r="165" spans="2:24" ht="26.25" thickBot="1">
      <c r="B165" s="490">
        <v>621</v>
      </c>
    </row>
    <row r="166" spans="2:24" ht="12.75" customHeight="1">
      <c r="B166" s="643"/>
      <c r="C166" s="646" t="s">
        <v>0</v>
      </c>
      <c r="D166" s="649" t="s">
        <v>38</v>
      </c>
      <c r="E166" s="650"/>
      <c r="F166" s="649" t="s">
        <v>39</v>
      </c>
      <c r="G166" s="650"/>
      <c r="H166" s="649" t="s">
        <v>37</v>
      </c>
      <c r="I166" s="650"/>
      <c r="J166" s="649" t="s">
        <v>74</v>
      </c>
      <c r="K166" s="650"/>
      <c r="L166" s="653"/>
      <c r="M166" s="649" t="s">
        <v>36</v>
      </c>
      <c r="N166" s="650"/>
      <c r="O166" s="653"/>
      <c r="P166" s="646" t="s">
        <v>32</v>
      </c>
      <c r="Q166" s="646"/>
      <c r="R166" s="646"/>
      <c r="S166" s="646"/>
      <c r="T166" s="646"/>
      <c r="U166" s="646"/>
      <c r="V166" s="646"/>
      <c r="W166" s="657"/>
      <c r="X166" s="658"/>
    </row>
    <row r="167" spans="2:24" ht="12.75" customHeight="1">
      <c r="B167" s="644"/>
      <c r="C167" s="647"/>
      <c r="D167" s="651"/>
      <c r="E167" s="652"/>
      <c r="F167" s="651"/>
      <c r="G167" s="652"/>
      <c r="H167" s="651"/>
      <c r="I167" s="652"/>
      <c r="J167" s="654"/>
      <c r="K167" s="655"/>
      <c r="L167" s="656"/>
      <c r="M167" s="654"/>
      <c r="N167" s="655"/>
      <c r="O167" s="656"/>
      <c r="P167" s="647" t="s">
        <v>53</v>
      </c>
      <c r="Q167" s="647"/>
      <c r="R167" s="647"/>
      <c r="S167" s="647" t="s">
        <v>54</v>
      </c>
      <c r="T167" s="647"/>
      <c r="U167" s="647"/>
      <c r="V167" s="647" t="s">
        <v>55</v>
      </c>
      <c r="W167" s="647"/>
      <c r="X167" s="659"/>
    </row>
    <row r="168" spans="2:24" ht="79.5" thickBot="1">
      <c r="B168" s="645"/>
      <c r="C168" s="648"/>
      <c r="D168" s="48" t="s">
        <v>47</v>
      </c>
      <c r="E168" s="48" t="s">
        <v>14</v>
      </c>
      <c r="F168" s="48" t="s">
        <v>49</v>
      </c>
      <c r="G168" s="48" t="s">
        <v>14</v>
      </c>
      <c r="H168" s="48" t="s">
        <v>49</v>
      </c>
      <c r="I168" s="48" t="s">
        <v>14</v>
      </c>
      <c r="J168" s="48" t="s">
        <v>48</v>
      </c>
      <c r="K168" s="48" t="s">
        <v>19</v>
      </c>
      <c r="L168" s="48" t="s">
        <v>31</v>
      </c>
      <c r="M168" s="48" t="s">
        <v>48</v>
      </c>
      <c r="N168" s="48" t="s">
        <v>19</v>
      </c>
      <c r="O168" s="48" t="s">
        <v>31</v>
      </c>
      <c r="P168" s="48" t="s">
        <v>48</v>
      </c>
      <c r="Q168" s="48" t="s">
        <v>19</v>
      </c>
      <c r="R168" s="48" t="s">
        <v>31</v>
      </c>
      <c r="S168" s="48" t="s">
        <v>48</v>
      </c>
      <c r="T168" s="48" t="s">
        <v>19</v>
      </c>
      <c r="U168" s="48" t="s">
        <v>31</v>
      </c>
      <c r="V168" s="48" t="s">
        <v>48</v>
      </c>
      <c r="W168" s="48" t="s">
        <v>19</v>
      </c>
      <c r="X168" s="36" t="s">
        <v>31</v>
      </c>
    </row>
    <row r="169" spans="2:24" ht="16.5" thickBot="1">
      <c r="B169" s="357">
        <v>1</v>
      </c>
      <c r="C169" s="37">
        <v>2</v>
      </c>
      <c r="D169" s="37">
        <v>3</v>
      </c>
      <c r="E169" s="38">
        <v>4</v>
      </c>
      <c r="F169" s="37">
        <v>5</v>
      </c>
      <c r="G169" s="37">
        <v>6</v>
      </c>
      <c r="H169" s="38">
        <v>7</v>
      </c>
      <c r="I169" s="37">
        <v>8</v>
      </c>
      <c r="J169" s="37">
        <v>9</v>
      </c>
      <c r="K169" s="38">
        <v>10</v>
      </c>
      <c r="L169" s="37">
        <v>11</v>
      </c>
      <c r="M169" s="37">
        <v>12</v>
      </c>
      <c r="N169" s="38">
        <v>13</v>
      </c>
      <c r="O169" s="37">
        <v>14</v>
      </c>
      <c r="P169" s="37">
        <v>15</v>
      </c>
      <c r="Q169" s="38">
        <v>16</v>
      </c>
      <c r="R169" s="37">
        <v>17</v>
      </c>
      <c r="S169" s="37">
        <v>18</v>
      </c>
      <c r="T169" s="38">
        <v>19</v>
      </c>
      <c r="U169" s="37">
        <v>20</v>
      </c>
      <c r="V169" s="37">
        <v>21</v>
      </c>
      <c r="W169" s="38">
        <v>22</v>
      </c>
      <c r="X169" s="39">
        <v>23</v>
      </c>
    </row>
    <row r="170" spans="2:24" ht="31.5">
      <c r="B170" s="358" t="s">
        <v>1</v>
      </c>
      <c r="C170" s="40" t="s">
        <v>56</v>
      </c>
      <c r="D170" s="485">
        <v>84</v>
      </c>
      <c r="E170" s="485">
        <v>82</v>
      </c>
      <c r="F170" s="485">
        <v>84</v>
      </c>
      <c r="G170" s="485">
        <v>82</v>
      </c>
      <c r="H170" s="485">
        <v>83</v>
      </c>
      <c r="I170" s="485">
        <v>82</v>
      </c>
      <c r="J170" s="620">
        <v>57670.38</v>
      </c>
      <c r="K170" s="621">
        <v>59527.67</v>
      </c>
      <c r="L170" s="621">
        <v>40310.67</v>
      </c>
      <c r="M170" s="620">
        <f>P170+S170</f>
        <v>41024.289999999994</v>
      </c>
      <c r="N170" s="620">
        <f>Q170+T170</f>
        <v>40766.400000000001</v>
      </c>
      <c r="O170" s="620">
        <f>R170+U170</f>
        <v>28785.160000000003</v>
      </c>
      <c r="P170" s="620">
        <f t="shared" ref="P170:R170" si="81">P172+P173+P174</f>
        <v>41024.289999999994</v>
      </c>
      <c r="Q170" s="620">
        <f t="shared" si="81"/>
        <v>40263.68</v>
      </c>
      <c r="R170" s="620">
        <f t="shared" si="81"/>
        <v>28282.440000000002</v>
      </c>
      <c r="S170" s="622"/>
      <c r="T170" s="623">
        <f>T173+T172</f>
        <v>502.71999999999997</v>
      </c>
      <c r="U170" s="623">
        <f>U173+U172</f>
        <v>502.71999999999997</v>
      </c>
      <c r="V170" s="488"/>
      <c r="W170" s="488"/>
      <c r="X170" s="488"/>
    </row>
    <row r="171" spans="2:24" ht="31.5">
      <c r="B171" s="359" t="s">
        <v>20</v>
      </c>
      <c r="C171" s="42" t="s">
        <v>57</v>
      </c>
      <c r="D171" s="489"/>
      <c r="E171" s="489"/>
      <c r="F171" s="489"/>
      <c r="G171" s="489"/>
      <c r="H171" s="489"/>
      <c r="I171" s="489"/>
      <c r="J171" s="487" t="s">
        <v>46</v>
      </c>
      <c r="K171" s="487" t="s">
        <v>46</v>
      </c>
      <c r="L171" s="487" t="s">
        <v>46</v>
      </c>
      <c r="M171" s="622"/>
      <c r="N171" s="622"/>
      <c r="O171" s="622"/>
      <c r="P171" s="622"/>
      <c r="Q171" s="622"/>
      <c r="R171" s="622"/>
      <c r="S171" s="620"/>
      <c r="T171" s="620"/>
      <c r="U171" s="620"/>
      <c r="V171" s="486"/>
      <c r="W171" s="486"/>
      <c r="X171" s="486"/>
    </row>
    <row r="172" spans="2:24" ht="20.25">
      <c r="B172" s="359" t="s">
        <v>21</v>
      </c>
      <c r="C172" s="42" t="s">
        <v>58</v>
      </c>
      <c r="D172" s="485">
        <v>57</v>
      </c>
      <c r="E172" s="485">
        <v>55</v>
      </c>
      <c r="F172" s="485">
        <v>57</v>
      </c>
      <c r="G172" s="485">
        <v>55</v>
      </c>
      <c r="H172" s="485">
        <v>56</v>
      </c>
      <c r="I172" s="485">
        <v>55</v>
      </c>
      <c r="J172" s="487" t="s">
        <v>46</v>
      </c>
      <c r="K172" s="487" t="s">
        <v>46</v>
      </c>
      <c r="L172" s="487" t="s">
        <v>46</v>
      </c>
      <c r="M172" s="624">
        <v>30122.65</v>
      </c>
      <c r="N172" s="624">
        <f>Q172+T172</f>
        <v>29726.51</v>
      </c>
      <c r="O172" s="624">
        <f>R172+U172</f>
        <v>20995.949999999997</v>
      </c>
      <c r="P172" s="624">
        <v>30122.65</v>
      </c>
      <c r="Q172" s="624">
        <v>29349.25</v>
      </c>
      <c r="R172" s="624">
        <v>20618.689999999999</v>
      </c>
      <c r="S172" s="620"/>
      <c r="T172" s="620">
        <v>377.26</v>
      </c>
      <c r="U172" s="620">
        <v>377.26</v>
      </c>
      <c r="V172" s="486"/>
      <c r="W172" s="486"/>
      <c r="X172" s="619"/>
    </row>
    <row r="173" spans="2:24" ht="63">
      <c r="B173" s="359" t="s">
        <v>22</v>
      </c>
      <c r="C173" s="42" t="s">
        <v>59</v>
      </c>
      <c r="D173" s="485">
        <v>21</v>
      </c>
      <c r="E173" s="485">
        <v>21</v>
      </c>
      <c r="F173" s="485">
        <v>21</v>
      </c>
      <c r="G173" s="485">
        <v>21</v>
      </c>
      <c r="H173" s="485">
        <v>21</v>
      </c>
      <c r="I173" s="485">
        <v>21</v>
      </c>
      <c r="J173" s="487" t="s">
        <v>46</v>
      </c>
      <c r="K173" s="487" t="s">
        <v>46</v>
      </c>
      <c r="L173" s="487" t="s">
        <v>46</v>
      </c>
      <c r="M173" s="624">
        <f>10901.64-1002.7</f>
        <v>9898.9399999999987</v>
      </c>
      <c r="N173" s="624">
        <f t="shared" ref="N173:N174" si="82">Q173+T173</f>
        <v>10011.529999999999</v>
      </c>
      <c r="O173" s="624">
        <f t="shared" ref="O173:O174" si="83">R173+U173</f>
        <v>6913.56</v>
      </c>
      <c r="P173" s="624">
        <f>10901.64-1002.7</f>
        <v>9898.9399999999987</v>
      </c>
      <c r="Q173" s="624">
        <v>9886.07</v>
      </c>
      <c r="R173" s="624">
        <v>6788.1</v>
      </c>
      <c r="S173" s="620"/>
      <c r="T173" s="620">
        <v>125.46</v>
      </c>
      <c r="U173" s="620">
        <v>125.46</v>
      </c>
      <c r="V173" s="486"/>
      <c r="W173" s="486"/>
      <c r="X173" s="619"/>
    </row>
    <row r="174" spans="2:24" ht="48" thickBot="1">
      <c r="B174" s="360" t="s">
        <v>23</v>
      </c>
      <c r="C174" s="42" t="s">
        <v>85</v>
      </c>
      <c r="D174" s="485">
        <v>6</v>
      </c>
      <c r="E174" s="485">
        <v>6</v>
      </c>
      <c r="F174" s="485">
        <v>6</v>
      </c>
      <c r="G174" s="485">
        <v>6</v>
      </c>
      <c r="H174" s="485">
        <v>6</v>
      </c>
      <c r="I174" s="485">
        <v>6</v>
      </c>
      <c r="J174" s="487" t="s">
        <v>46</v>
      </c>
      <c r="K174" s="487" t="s">
        <v>46</v>
      </c>
      <c r="L174" s="487" t="s">
        <v>46</v>
      </c>
      <c r="M174" s="624">
        <v>1002.7</v>
      </c>
      <c r="N174" s="624">
        <f t="shared" si="82"/>
        <v>1028.3599999999999</v>
      </c>
      <c r="O174" s="624">
        <f t="shared" si="83"/>
        <v>875.65</v>
      </c>
      <c r="P174" s="624">
        <v>1002.7</v>
      </c>
      <c r="Q174" s="624">
        <v>1028.3599999999999</v>
      </c>
      <c r="R174" s="624">
        <v>875.65</v>
      </c>
      <c r="S174" s="620"/>
      <c r="T174" s="620"/>
      <c r="U174" s="620"/>
      <c r="V174" s="486"/>
      <c r="W174" s="486"/>
      <c r="X174" s="619"/>
    </row>
    <row r="175" spans="2:24" ht="26.25" thickBot="1">
      <c r="B175" s="220">
        <v>624</v>
      </c>
    </row>
    <row r="176" spans="2:24" ht="12.75" customHeight="1">
      <c r="B176" s="643"/>
      <c r="C176" s="646" t="s">
        <v>0</v>
      </c>
      <c r="D176" s="649" t="s">
        <v>38</v>
      </c>
      <c r="E176" s="650"/>
      <c r="F176" s="649" t="s">
        <v>39</v>
      </c>
      <c r="G176" s="650"/>
      <c r="H176" s="649" t="s">
        <v>37</v>
      </c>
      <c r="I176" s="650"/>
      <c r="J176" s="649" t="s">
        <v>74</v>
      </c>
      <c r="K176" s="650"/>
      <c r="L176" s="653"/>
      <c r="M176" s="649" t="s">
        <v>36</v>
      </c>
      <c r="N176" s="650"/>
      <c r="O176" s="653"/>
      <c r="P176" s="646" t="s">
        <v>32</v>
      </c>
      <c r="Q176" s="646"/>
      <c r="R176" s="646"/>
      <c r="S176" s="646"/>
      <c r="T176" s="646"/>
      <c r="U176" s="646"/>
      <c r="V176" s="646"/>
      <c r="W176" s="657"/>
      <c r="X176" s="658"/>
    </row>
    <row r="177" spans="2:24" ht="12.75" customHeight="1">
      <c r="B177" s="644"/>
      <c r="C177" s="647"/>
      <c r="D177" s="651"/>
      <c r="E177" s="652"/>
      <c r="F177" s="651"/>
      <c r="G177" s="652"/>
      <c r="H177" s="651"/>
      <c r="I177" s="652"/>
      <c r="J177" s="654"/>
      <c r="K177" s="655"/>
      <c r="L177" s="656"/>
      <c r="M177" s="654"/>
      <c r="N177" s="655"/>
      <c r="O177" s="656"/>
      <c r="P177" s="647" t="s">
        <v>53</v>
      </c>
      <c r="Q177" s="647"/>
      <c r="R177" s="647"/>
      <c r="S177" s="647" t="s">
        <v>54</v>
      </c>
      <c r="T177" s="647"/>
      <c r="U177" s="647"/>
      <c r="V177" s="647" t="s">
        <v>55</v>
      </c>
      <c r="W177" s="647"/>
      <c r="X177" s="659"/>
    </row>
    <row r="178" spans="2:24" ht="79.5" thickBot="1">
      <c r="B178" s="645"/>
      <c r="C178" s="648"/>
      <c r="D178" s="64" t="s">
        <v>47</v>
      </c>
      <c r="E178" s="64" t="s">
        <v>14</v>
      </c>
      <c r="F178" s="64" t="s">
        <v>49</v>
      </c>
      <c r="G178" s="64" t="s">
        <v>14</v>
      </c>
      <c r="H178" s="64" t="s">
        <v>49</v>
      </c>
      <c r="I178" s="64" t="s">
        <v>14</v>
      </c>
      <c r="J178" s="64" t="s">
        <v>48</v>
      </c>
      <c r="K178" s="64" t="s">
        <v>19</v>
      </c>
      <c r="L178" s="64" t="s">
        <v>31</v>
      </c>
      <c r="M178" s="64" t="s">
        <v>48</v>
      </c>
      <c r="N178" s="64" t="s">
        <v>19</v>
      </c>
      <c r="O178" s="64" t="s">
        <v>31</v>
      </c>
      <c r="P178" s="64" t="s">
        <v>48</v>
      </c>
      <c r="Q178" s="64" t="s">
        <v>19</v>
      </c>
      <c r="R178" s="64" t="s">
        <v>31</v>
      </c>
      <c r="S178" s="64" t="s">
        <v>48</v>
      </c>
      <c r="T178" s="64" t="s">
        <v>19</v>
      </c>
      <c r="U178" s="64" t="s">
        <v>31</v>
      </c>
      <c r="V178" s="64" t="s">
        <v>48</v>
      </c>
      <c r="W178" s="64" t="s">
        <v>19</v>
      </c>
      <c r="X178" s="36" t="s">
        <v>31</v>
      </c>
    </row>
    <row r="179" spans="2:24" ht="16.5" thickBot="1">
      <c r="B179" s="357">
        <v>1</v>
      </c>
      <c r="C179" s="37">
        <v>2</v>
      </c>
      <c r="D179" s="37">
        <v>3</v>
      </c>
      <c r="E179" s="38">
        <v>4</v>
      </c>
      <c r="F179" s="37">
        <v>5</v>
      </c>
      <c r="G179" s="37">
        <v>6</v>
      </c>
      <c r="H179" s="38">
        <v>7</v>
      </c>
      <c r="I179" s="37">
        <v>8</v>
      </c>
      <c r="J179" s="37">
        <v>9</v>
      </c>
      <c r="K179" s="38">
        <v>10</v>
      </c>
      <c r="L179" s="37">
        <v>11</v>
      </c>
      <c r="M179" s="37">
        <v>12</v>
      </c>
      <c r="N179" s="38">
        <v>13</v>
      </c>
      <c r="O179" s="37">
        <v>14</v>
      </c>
      <c r="P179" s="37">
        <v>15</v>
      </c>
      <c r="Q179" s="38">
        <v>16</v>
      </c>
      <c r="R179" s="37">
        <v>17</v>
      </c>
      <c r="S179" s="37">
        <v>18</v>
      </c>
      <c r="T179" s="38">
        <v>19</v>
      </c>
      <c r="U179" s="37">
        <v>20</v>
      </c>
      <c r="V179" s="37">
        <v>21</v>
      </c>
      <c r="W179" s="38">
        <v>22</v>
      </c>
      <c r="X179" s="39">
        <v>23</v>
      </c>
    </row>
    <row r="180" spans="2:24" ht="31.5">
      <c r="B180" s="358" t="s">
        <v>1</v>
      </c>
      <c r="C180" s="40" t="s">
        <v>56</v>
      </c>
      <c r="D180" s="472">
        <f>D182+D183</f>
        <v>24</v>
      </c>
      <c r="E180" s="472">
        <f t="shared" ref="E180:I180" si="84">E182+E183</f>
        <v>24</v>
      </c>
      <c r="F180" s="472">
        <f t="shared" si="84"/>
        <v>22</v>
      </c>
      <c r="G180" s="472">
        <f t="shared" si="84"/>
        <v>22</v>
      </c>
      <c r="H180" s="472">
        <f t="shared" si="84"/>
        <v>23</v>
      </c>
      <c r="I180" s="472">
        <f t="shared" si="84"/>
        <v>22</v>
      </c>
      <c r="J180" s="626">
        <v>18367.849999999999</v>
      </c>
      <c r="K180" s="626">
        <v>18579.830000000002</v>
      </c>
      <c r="L180" s="626">
        <v>12979.05</v>
      </c>
      <c r="M180" s="226">
        <f t="shared" ref="M180:P180" si="85">M182+M183</f>
        <v>12969.619999999999</v>
      </c>
      <c r="N180" s="226">
        <v>13132.43</v>
      </c>
      <c r="O180" s="226">
        <v>9316.0499999999993</v>
      </c>
      <c r="P180" s="226">
        <f t="shared" si="85"/>
        <v>12969.619999999999</v>
      </c>
      <c r="Q180" s="226">
        <v>12969.62</v>
      </c>
      <c r="R180" s="226">
        <v>9153.24</v>
      </c>
      <c r="S180" s="225">
        <f t="shared" ref="S180" si="86">S181+S182+S183+S184</f>
        <v>0</v>
      </c>
      <c r="T180" s="225">
        <v>162.81</v>
      </c>
      <c r="U180" s="225">
        <v>162.81</v>
      </c>
      <c r="V180" s="234">
        <f t="shared" ref="V180:X180" si="87">V181+V182+V183+V184</f>
        <v>0</v>
      </c>
      <c r="W180" s="234">
        <f t="shared" si="87"/>
        <v>0</v>
      </c>
      <c r="X180" s="235">
        <f t="shared" si="87"/>
        <v>0</v>
      </c>
    </row>
    <row r="181" spans="2:24" ht="31.5">
      <c r="B181" s="359" t="s">
        <v>20</v>
      </c>
      <c r="C181" s="42" t="s">
        <v>57</v>
      </c>
      <c r="D181" s="193"/>
      <c r="E181" s="193"/>
      <c r="F181" s="193"/>
      <c r="G181" s="193"/>
      <c r="H181" s="193"/>
      <c r="I181" s="193"/>
      <c r="J181" s="627"/>
      <c r="K181" s="627"/>
      <c r="L181" s="627"/>
      <c r="M181" s="420"/>
      <c r="N181" s="420"/>
      <c r="O181" s="420"/>
      <c r="P181" s="420"/>
      <c r="Q181" s="420"/>
      <c r="R181" s="420"/>
      <c r="S181" s="420"/>
      <c r="T181" s="420"/>
      <c r="U181" s="420"/>
      <c r="V181" s="25"/>
      <c r="W181" s="25"/>
      <c r="X181" s="143"/>
    </row>
    <row r="182" spans="2:24" ht="20.25">
      <c r="B182" s="359" t="s">
        <v>21</v>
      </c>
      <c r="C182" s="42" t="s">
        <v>58</v>
      </c>
      <c r="D182" s="193">
        <v>19</v>
      </c>
      <c r="E182" s="193">
        <v>19</v>
      </c>
      <c r="F182" s="193">
        <v>18</v>
      </c>
      <c r="G182" s="193">
        <v>17</v>
      </c>
      <c r="H182" s="193">
        <v>18</v>
      </c>
      <c r="I182" s="193">
        <v>17</v>
      </c>
      <c r="J182" s="628"/>
      <c r="K182" s="628"/>
      <c r="L182" s="628"/>
      <c r="M182" s="418">
        <v>10814.75</v>
      </c>
      <c r="N182" s="418">
        <v>10956.19</v>
      </c>
      <c r="O182" s="418">
        <v>7709.24</v>
      </c>
      <c r="P182" s="418">
        <f t="shared" ref="P182:P183" si="88">M182</f>
        <v>10814.75</v>
      </c>
      <c r="Q182" s="418">
        <v>10814.75</v>
      </c>
      <c r="R182" s="418">
        <v>7567.8</v>
      </c>
      <c r="S182" s="193"/>
      <c r="T182" s="193">
        <v>141.43</v>
      </c>
      <c r="U182" s="193">
        <f>T182</f>
        <v>141.43</v>
      </c>
      <c r="V182" s="25"/>
      <c r="W182" s="236"/>
      <c r="X182" s="237"/>
    </row>
    <row r="183" spans="2:24" ht="63">
      <c r="B183" s="359" t="s">
        <v>22</v>
      </c>
      <c r="C183" s="42" t="s">
        <v>59</v>
      </c>
      <c r="D183" s="193">
        <v>5</v>
      </c>
      <c r="E183" s="193">
        <v>5</v>
      </c>
      <c r="F183" s="193">
        <v>4</v>
      </c>
      <c r="G183" s="193">
        <v>5</v>
      </c>
      <c r="H183" s="193">
        <v>5</v>
      </c>
      <c r="I183" s="193">
        <v>5</v>
      </c>
      <c r="J183" s="628"/>
      <c r="K183" s="628"/>
      <c r="L183" s="628"/>
      <c r="M183" s="418">
        <v>2154.87</v>
      </c>
      <c r="N183" s="418">
        <v>2176.2399999999998</v>
      </c>
      <c r="O183" s="418">
        <v>1606.81</v>
      </c>
      <c r="P183" s="418">
        <f t="shared" si="88"/>
        <v>2154.87</v>
      </c>
      <c r="Q183" s="418">
        <v>2154.87</v>
      </c>
      <c r="R183" s="418">
        <v>1585.44</v>
      </c>
      <c r="S183" s="193"/>
      <c r="T183" s="193">
        <v>21.38</v>
      </c>
      <c r="U183" s="193">
        <f>T183</f>
        <v>21.38</v>
      </c>
      <c r="V183" s="25"/>
      <c r="W183" s="236"/>
      <c r="X183" s="237"/>
    </row>
    <row r="184" spans="2:24" ht="48" thickBot="1">
      <c r="B184" s="360" t="s">
        <v>23</v>
      </c>
      <c r="C184" s="42" t="s">
        <v>85</v>
      </c>
      <c r="D184" s="263"/>
      <c r="E184" s="263"/>
      <c r="F184" s="263"/>
      <c r="G184" s="263"/>
      <c r="H184" s="263"/>
      <c r="I184" s="263"/>
      <c r="J184" s="144" t="s">
        <v>46</v>
      </c>
      <c r="K184" s="144" t="s">
        <v>46</v>
      </c>
      <c r="L184" s="144" t="s">
        <v>46</v>
      </c>
      <c r="M184" s="142"/>
      <c r="N184" s="142"/>
      <c r="O184" s="142"/>
      <c r="P184" s="142"/>
      <c r="Q184" s="142"/>
      <c r="R184" s="142"/>
      <c r="S184" s="142"/>
      <c r="T184" s="142"/>
      <c r="U184" s="142"/>
      <c r="V184" s="142"/>
      <c r="W184" s="238"/>
      <c r="X184" s="239"/>
    </row>
    <row r="185" spans="2:24" ht="39" customHeight="1" thickBot="1">
      <c r="B185" s="219">
        <v>643</v>
      </c>
      <c r="C185" s="160"/>
    </row>
    <row r="186" spans="2:24" ht="12.75" customHeight="1">
      <c r="B186" s="643"/>
      <c r="C186" s="646" t="s">
        <v>0</v>
      </c>
      <c r="D186" s="649" t="s">
        <v>38</v>
      </c>
      <c r="E186" s="650"/>
      <c r="F186" s="649" t="s">
        <v>39</v>
      </c>
      <c r="G186" s="650"/>
      <c r="H186" s="649" t="s">
        <v>37</v>
      </c>
      <c r="I186" s="650"/>
      <c r="J186" s="649" t="s">
        <v>74</v>
      </c>
      <c r="K186" s="650"/>
      <c r="L186" s="653"/>
      <c r="M186" s="649" t="s">
        <v>36</v>
      </c>
      <c r="N186" s="650"/>
      <c r="O186" s="653"/>
      <c r="P186" s="646" t="s">
        <v>32</v>
      </c>
      <c r="Q186" s="646"/>
      <c r="R186" s="646"/>
      <c r="S186" s="646"/>
      <c r="T186" s="646"/>
      <c r="U186" s="646"/>
      <c r="V186" s="646"/>
      <c r="W186" s="657"/>
      <c r="X186" s="658"/>
    </row>
    <row r="187" spans="2:24" ht="12.75" customHeight="1">
      <c r="B187" s="644"/>
      <c r="C187" s="647"/>
      <c r="D187" s="651"/>
      <c r="E187" s="652"/>
      <c r="F187" s="651"/>
      <c r="G187" s="652"/>
      <c r="H187" s="651"/>
      <c r="I187" s="652"/>
      <c r="J187" s="654"/>
      <c r="K187" s="655"/>
      <c r="L187" s="656"/>
      <c r="M187" s="654"/>
      <c r="N187" s="655"/>
      <c r="O187" s="656"/>
      <c r="P187" s="647" t="s">
        <v>53</v>
      </c>
      <c r="Q187" s="647"/>
      <c r="R187" s="647"/>
      <c r="S187" s="647" t="s">
        <v>54</v>
      </c>
      <c r="T187" s="647"/>
      <c r="U187" s="647"/>
      <c r="V187" s="647" t="s">
        <v>55</v>
      </c>
      <c r="W187" s="647"/>
      <c r="X187" s="659"/>
    </row>
    <row r="188" spans="2:24" ht="79.5" thickBot="1">
      <c r="B188" s="645"/>
      <c r="C188" s="648"/>
      <c r="D188" s="35" t="s">
        <v>106</v>
      </c>
      <c r="E188" s="35" t="s">
        <v>14</v>
      </c>
      <c r="F188" s="35" t="s">
        <v>107</v>
      </c>
      <c r="G188" s="35" t="s">
        <v>14</v>
      </c>
      <c r="H188" s="35" t="s">
        <v>107</v>
      </c>
      <c r="I188" s="35" t="s">
        <v>14</v>
      </c>
      <c r="J188" s="35" t="s">
        <v>108</v>
      </c>
      <c r="K188" s="35" t="s">
        <v>19</v>
      </c>
      <c r="L188" s="35" t="s">
        <v>31</v>
      </c>
      <c r="M188" s="35" t="s">
        <v>108</v>
      </c>
      <c r="N188" s="35" t="s">
        <v>19</v>
      </c>
      <c r="O188" s="35" t="s">
        <v>31</v>
      </c>
      <c r="P188" s="35" t="s">
        <v>108</v>
      </c>
      <c r="Q188" s="35" t="s">
        <v>19</v>
      </c>
      <c r="R188" s="35" t="s">
        <v>31</v>
      </c>
      <c r="S188" s="35" t="s">
        <v>108</v>
      </c>
      <c r="T188" s="35" t="s">
        <v>19</v>
      </c>
      <c r="U188" s="35" t="s">
        <v>31</v>
      </c>
      <c r="V188" s="35" t="s">
        <v>108</v>
      </c>
      <c r="W188" s="35" t="s">
        <v>19</v>
      </c>
      <c r="X188" s="36" t="s">
        <v>31</v>
      </c>
    </row>
    <row r="189" spans="2:24" ht="16.5" thickBot="1">
      <c r="B189" s="357">
        <v>1</v>
      </c>
      <c r="C189" s="37">
        <v>2</v>
      </c>
      <c r="D189" s="37">
        <v>3</v>
      </c>
      <c r="E189" s="38">
        <v>4</v>
      </c>
      <c r="F189" s="37">
        <v>5</v>
      </c>
      <c r="G189" s="37">
        <v>6</v>
      </c>
      <c r="H189" s="38">
        <v>7</v>
      </c>
      <c r="I189" s="37">
        <v>8</v>
      </c>
      <c r="J189" s="37">
        <v>9</v>
      </c>
      <c r="K189" s="38">
        <v>10</v>
      </c>
      <c r="L189" s="37">
        <v>11</v>
      </c>
      <c r="M189" s="37">
        <v>12</v>
      </c>
      <c r="N189" s="38">
        <v>13</v>
      </c>
      <c r="O189" s="37">
        <v>14</v>
      </c>
      <c r="P189" s="37">
        <v>15</v>
      </c>
      <c r="Q189" s="38">
        <v>16</v>
      </c>
      <c r="R189" s="37">
        <v>17</v>
      </c>
      <c r="S189" s="37">
        <v>18</v>
      </c>
      <c r="T189" s="38">
        <v>19</v>
      </c>
      <c r="U189" s="37">
        <v>20</v>
      </c>
      <c r="V189" s="37">
        <v>21</v>
      </c>
      <c r="W189" s="38">
        <v>22</v>
      </c>
      <c r="X189" s="39">
        <v>23</v>
      </c>
    </row>
    <row r="190" spans="2:24" ht="31.5">
      <c r="B190" s="358" t="s">
        <v>1</v>
      </c>
      <c r="C190" s="40" t="s">
        <v>56</v>
      </c>
      <c r="D190" s="473">
        <f t="shared" ref="D190:I190" si="89">D191+D192+D193+D194</f>
        <v>18</v>
      </c>
      <c r="E190" s="473">
        <f t="shared" ref="E190" si="90">E191+E192+E193+E194</f>
        <v>18</v>
      </c>
      <c r="F190" s="473">
        <f t="shared" si="89"/>
        <v>18</v>
      </c>
      <c r="G190" s="473">
        <f t="shared" si="89"/>
        <v>18</v>
      </c>
      <c r="H190" s="473">
        <f t="shared" si="89"/>
        <v>18</v>
      </c>
      <c r="I190" s="473">
        <f t="shared" si="89"/>
        <v>18</v>
      </c>
      <c r="J190" s="474">
        <v>17170.439999999999</v>
      </c>
      <c r="K190" s="474">
        <v>17510.419999999998</v>
      </c>
      <c r="L190" s="474">
        <v>13118.2</v>
      </c>
      <c r="M190" s="474">
        <f t="shared" ref="M190:X190" si="91">M191+M192+M193+M194</f>
        <v>10125.049999999999</v>
      </c>
      <c r="N190" s="474">
        <f>N191+N192+N193+N194</f>
        <v>10089.539999999999</v>
      </c>
      <c r="O190" s="474">
        <f>O191+O192+O193+O194</f>
        <v>8061.34</v>
      </c>
      <c r="P190" s="474">
        <f t="shared" ref="P190:U190" si="92">P191+P192+P193+P194</f>
        <v>10125.049999999999</v>
      </c>
      <c r="Q190" s="474">
        <f t="shared" si="92"/>
        <v>10089.539999999999</v>
      </c>
      <c r="R190" s="474">
        <f t="shared" si="92"/>
        <v>8061.34</v>
      </c>
      <c r="S190" s="474">
        <v>0</v>
      </c>
      <c r="T190" s="474">
        <f t="shared" si="92"/>
        <v>0</v>
      </c>
      <c r="U190" s="474">
        <f t="shared" si="92"/>
        <v>0</v>
      </c>
      <c r="V190" s="40">
        <f t="shared" si="91"/>
        <v>0</v>
      </c>
      <c r="W190" s="40">
        <f t="shared" si="91"/>
        <v>0</v>
      </c>
      <c r="X190" s="41">
        <f t="shared" si="91"/>
        <v>0</v>
      </c>
    </row>
    <row r="191" spans="2:24" ht="31.5">
      <c r="B191" s="359" t="s">
        <v>20</v>
      </c>
      <c r="C191" s="42" t="s">
        <v>57</v>
      </c>
      <c r="D191" s="475"/>
      <c r="E191" s="475"/>
      <c r="F191" s="475"/>
      <c r="G191" s="475"/>
      <c r="H191" s="475"/>
      <c r="I191" s="475"/>
      <c r="J191" s="476" t="s">
        <v>46</v>
      </c>
      <c r="K191" s="476" t="s">
        <v>46</v>
      </c>
      <c r="L191" s="476" t="s">
        <v>46</v>
      </c>
      <c r="M191" s="477">
        <f t="shared" ref="M191:M193" si="93">P191+S191+V191</f>
        <v>0</v>
      </c>
      <c r="N191" s="477">
        <f t="shared" ref="N191" si="94">Q191+T191+W191</f>
        <v>0</v>
      </c>
      <c r="O191" s="477">
        <f t="shared" ref="O191" si="95">R191+U191+X191</f>
        <v>0</v>
      </c>
      <c r="P191" s="477">
        <v>0</v>
      </c>
      <c r="Q191" s="477">
        <v>0</v>
      </c>
      <c r="R191" s="477">
        <v>0</v>
      </c>
      <c r="S191" s="475">
        <v>0</v>
      </c>
      <c r="T191" s="475">
        <v>0</v>
      </c>
      <c r="U191" s="475">
        <v>0</v>
      </c>
      <c r="V191" s="42">
        <v>0</v>
      </c>
      <c r="W191" s="42">
        <v>0</v>
      </c>
      <c r="X191" s="43">
        <v>0</v>
      </c>
    </row>
    <row r="192" spans="2:24" ht="20.25">
      <c r="B192" s="359" t="s">
        <v>21</v>
      </c>
      <c r="C192" s="42" t="s">
        <v>58</v>
      </c>
      <c r="D192" s="475">
        <v>16</v>
      </c>
      <c r="E192" s="475">
        <v>16</v>
      </c>
      <c r="F192" s="475">
        <v>16</v>
      </c>
      <c r="G192" s="475">
        <v>16</v>
      </c>
      <c r="H192" s="475">
        <v>16</v>
      </c>
      <c r="I192" s="475">
        <v>16</v>
      </c>
      <c r="J192" s="476" t="s">
        <v>46</v>
      </c>
      <c r="K192" s="476" t="s">
        <v>46</v>
      </c>
      <c r="L192" s="476" t="s">
        <v>46</v>
      </c>
      <c r="M192" s="477">
        <f>P192</f>
        <v>9808.65</v>
      </c>
      <c r="N192" s="477">
        <f>Q192+T192</f>
        <v>9798.9699999999993</v>
      </c>
      <c r="O192" s="477">
        <f>R192+U192</f>
        <v>7871.81</v>
      </c>
      <c r="P192" s="477">
        <v>9808.65</v>
      </c>
      <c r="Q192" s="477">
        <v>9798.9699999999993</v>
      </c>
      <c r="R192" s="477">
        <v>7871.81</v>
      </c>
      <c r="S192" s="475">
        <v>0</v>
      </c>
      <c r="T192" s="475">
        <v>0</v>
      </c>
      <c r="U192" s="475">
        <v>0</v>
      </c>
      <c r="V192" s="42">
        <v>0</v>
      </c>
      <c r="W192" s="49">
        <v>0</v>
      </c>
      <c r="X192" s="44">
        <v>0</v>
      </c>
    </row>
    <row r="193" spans="2:24" ht="63">
      <c r="B193" s="359" t="s">
        <v>22</v>
      </c>
      <c r="C193" s="42" t="s">
        <v>59</v>
      </c>
      <c r="D193" s="475">
        <v>0</v>
      </c>
      <c r="E193" s="475">
        <v>0</v>
      </c>
      <c r="F193" s="475">
        <v>0</v>
      </c>
      <c r="G193" s="475">
        <v>0</v>
      </c>
      <c r="H193" s="475">
        <v>0</v>
      </c>
      <c r="I193" s="475">
        <v>0</v>
      </c>
      <c r="J193" s="476" t="s">
        <v>46</v>
      </c>
      <c r="K193" s="476" t="s">
        <v>46</v>
      </c>
      <c r="L193" s="476" t="s">
        <v>46</v>
      </c>
      <c r="M193" s="477">
        <f t="shared" si="93"/>
        <v>0</v>
      </c>
      <c r="N193" s="477">
        <f t="shared" ref="N193" si="96">Q193+T193+W193</f>
        <v>0</v>
      </c>
      <c r="O193" s="477">
        <f t="shared" ref="O193" si="97">R193+U193+X193</f>
        <v>0</v>
      </c>
      <c r="P193" s="477">
        <v>0</v>
      </c>
      <c r="Q193" s="477">
        <v>0</v>
      </c>
      <c r="R193" s="477">
        <v>0</v>
      </c>
      <c r="S193" s="475">
        <v>0</v>
      </c>
      <c r="T193" s="475">
        <v>0</v>
      </c>
      <c r="U193" s="475">
        <v>0</v>
      </c>
      <c r="V193" s="42">
        <v>0</v>
      </c>
      <c r="W193" s="49">
        <v>0</v>
      </c>
      <c r="X193" s="44">
        <v>0</v>
      </c>
    </row>
    <row r="194" spans="2:24" ht="48" thickBot="1">
      <c r="B194" s="360" t="s">
        <v>23</v>
      </c>
      <c r="C194" s="42" t="s">
        <v>85</v>
      </c>
      <c r="D194" s="478">
        <v>2</v>
      </c>
      <c r="E194" s="478">
        <v>2</v>
      </c>
      <c r="F194" s="478">
        <v>2</v>
      </c>
      <c r="G194" s="478">
        <v>2</v>
      </c>
      <c r="H194" s="478">
        <v>2</v>
      </c>
      <c r="I194" s="478">
        <v>2</v>
      </c>
      <c r="J194" s="479" t="s">
        <v>46</v>
      </c>
      <c r="K194" s="479" t="s">
        <v>46</v>
      </c>
      <c r="L194" s="479" t="s">
        <v>46</v>
      </c>
      <c r="M194" s="478">
        <f>P194</f>
        <v>316.39999999999998</v>
      </c>
      <c r="N194" s="478">
        <f>Q194+T194</f>
        <v>290.57</v>
      </c>
      <c r="O194" s="478">
        <f>R194+U194</f>
        <v>189.53</v>
      </c>
      <c r="P194" s="478">
        <v>316.39999999999998</v>
      </c>
      <c r="Q194" s="478">
        <v>290.57</v>
      </c>
      <c r="R194" s="478">
        <v>189.53</v>
      </c>
      <c r="S194" s="478">
        <v>0</v>
      </c>
      <c r="T194" s="478">
        <v>0</v>
      </c>
      <c r="U194" s="478">
        <v>0</v>
      </c>
      <c r="V194" s="50">
        <v>0</v>
      </c>
      <c r="W194" s="51">
        <v>0</v>
      </c>
      <c r="X194" s="45">
        <v>0</v>
      </c>
    </row>
  </sheetData>
  <autoFilter ref="A19:X24"/>
  <mergeCells count="200">
    <mergeCell ref="C25:X25"/>
    <mergeCell ref="B11:X11"/>
    <mergeCell ref="B13:X13"/>
    <mergeCell ref="B14:X14"/>
    <mergeCell ref="B16:B18"/>
    <mergeCell ref="C16:C18"/>
    <mergeCell ref="D16:E17"/>
    <mergeCell ref="F16:G17"/>
    <mergeCell ref="H16:I17"/>
    <mergeCell ref="J16:L17"/>
    <mergeCell ref="S1:X1"/>
    <mergeCell ref="R3:X3"/>
    <mergeCell ref="R4:X4"/>
    <mergeCell ref="B9:X9"/>
    <mergeCell ref="B10:X10"/>
    <mergeCell ref="R5:X5"/>
    <mergeCell ref="R6:X6"/>
    <mergeCell ref="R7:X7"/>
    <mergeCell ref="B36:B38"/>
    <mergeCell ref="C36:C38"/>
    <mergeCell ref="D36:E37"/>
    <mergeCell ref="F36:G37"/>
    <mergeCell ref="H36:I37"/>
    <mergeCell ref="J36:L37"/>
    <mergeCell ref="M36:O37"/>
    <mergeCell ref="P36:X36"/>
    <mergeCell ref="P37:R37"/>
    <mergeCell ref="S37:U37"/>
    <mergeCell ref="V37:X37"/>
    <mergeCell ref="M16:O17"/>
    <mergeCell ref="P16:X16"/>
    <mergeCell ref="P17:R17"/>
    <mergeCell ref="S17:U17"/>
    <mergeCell ref="V17:X17"/>
    <mergeCell ref="B46:B48"/>
    <mergeCell ref="C46:C48"/>
    <mergeCell ref="D46:E47"/>
    <mergeCell ref="F46:G47"/>
    <mergeCell ref="H46:I47"/>
    <mergeCell ref="J46:L47"/>
    <mergeCell ref="M46:O47"/>
    <mergeCell ref="P46:X46"/>
    <mergeCell ref="P47:R47"/>
    <mergeCell ref="S47:U47"/>
    <mergeCell ref="V47:X47"/>
    <mergeCell ref="B56:B58"/>
    <mergeCell ref="C56:C58"/>
    <mergeCell ref="D56:E57"/>
    <mergeCell ref="F56:G57"/>
    <mergeCell ref="H56:I57"/>
    <mergeCell ref="J56:L57"/>
    <mergeCell ref="M56:O57"/>
    <mergeCell ref="P56:X56"/>
    <mergeCell ref="P57:R57"/>
    <mergeCell ref="S57:U57"/>
    <mergeCell ref="V57:X57"/>
    <mergeCell ref="B66:B68"/>
    <mergeCell ref="C66:C68"/>
    <mergeCell ref="D66:E67"/>
    <mergeCell ref="F66:G67"/>
    <mergeCell ref="H66:I67"/>
    <mergeCell ref="J66:L67"/>
    <mergeCell ref="M66:O67"/>
    <mergeCell ref="P66:X66"/>
    <mergeCell ref="P67:R67"/>
    <mergeCell ref="S67:U67"/>
    <mergeCell ref="V67:X67"/>
    <mergeCell ref="B76:B78"/>
    <mergeCell ref="C76:C78"/>
    <mergeCell ref="D76:E77"/>
    <mergeCell ref="F76:G77"/>
    <mergeCell ref="H76:I77"/>
    <mergeCell ref="J76:L77"/>
    <mergeCell ref="M76:O77"/>
    <mergeCell ref="P76:X76"/>
    <mergeCell ref="P77:R77"/>
    <mergeCell ref="S77:U77"/>
    <mergeCell ref="V77:X77"/>
    <mergeCell ref="B86:B88"/>
    <mergeCell ref="C86:C88"/>
    <mergeCell ref="D86:E87"/>
    <mergeCell ref="F86:G87"/>
    <mergeCell ref="H86:I87"/>
    <mergeCell ref="J86:L87"/>
    <mergeCell ref="M86:O87"/>
    <mergeCell ref="P86:X86"/>
    <mergeCell ref="P87:R87"/>
    <mergeCell ref="S87:U87"/>
    <mergeCell ref="V87:X87"/>
    <mergeCell ref="B96:B98"/>
    <mergeCell ref="C96:C98"/>
    <mergeCell ref="D96:E97"/>
    <mergeCell ref="F96:G97"/>
    <mergeCell ref="H96:I97"/>
    <mergeCell ref="J96:L97"/>
    <mergeCell ref="M96:O97"/>
    <mergeCell ref="P96:X96"/>
    <mergeCell ref="P97:R97"/>
    <mergeCell ref="S97:U97"/>
    <mergeCell ref="V97:X97"/>
    <mergeCell ref="B106:B108"/>
    <mergeCell ref="C106:C108"/>
    <mergeCell ref="D106:E107"/>
    <mergeCell ref="F106:G107"/>
    <mergeCell ref="H106:I107"/>
    <mergeCell ref="J106:L107"/>
    <mergeCell ref="M106:O107"/>
    <mergeCell ref="P106:X106"/>
    <mergeCell ref="P107:R107"/>
    <mergeCell ref="S107:U107"/>
    <mergeCell ref="V107:X107"/>
    <mergeCell ref="B116:B118"/>
    <mergeCell ref="C116:C118"/>
    <mergeCell ref="D116:E117"/>
    <mergeCell ref="F116:G117"/>
    <mergeCell ref="H116:I117"/>
    <mergeCell ref="J116:L117"/>
    <mergeCell ref="M116:O117"/>
    <mergeCell ref="P116:X116"/>
    <mergeCell ref="P117:R117"/>
    <mergeCell ref="S117:U117"/>
    <mergeCell ref="V117:X117"/>
    <mergeCell ref="B126:B128"/>
    <mergeCell ref="C126:C128"/>
    <mergeCell ref="D126:E127"/>
    <mergeCell ref="F126:G127"/>
    <mergeCell ref="H126:I127"/>
    <mergeCell ref="J126:L127"/>
    <mergeCell ref="M126:O127"/>
    <mergeCell ref="P126:X126"/>
    <mergeCell ref="P127:R127"/>
    <mergeCell ref="S127:U127"/>
    <mergeCell ref="V127:X127"/>
    <mergeCell ref="B136:B138"/>
    <mergeCell ref="C136:C138"/>
    <mergeCell ref="D136:E137"/>
    <mergeCell ref="F136:G137"/>
    <mergeCell ref="H136:I137"/>
    <mergeCell ref="J136:L137"/>
    <mergeCell ref="M136:O137"/>
    <mergeCell ref="P136:X136"/>
    <mergeCell ref="P137:R137"/>
    <mergeCell ref="S137:U137"/>
    <mergeCell ref="V137:X137"/>
    <mergeCell ref="B146:B148"/>
    <mergeCell ref="C146:C148"/>
    <mergeCell ref="D146:E147"/>
    <mergeCell ref="F146:G147"/>
    <mergeCell ref="H146:I147"/>
    <mergeCell ref="J156:L157"/>
    <mergeCell ref="J146:L147"/>
    <mergeCell ref="M146:O147"/>
    <mergeCell ref="P146:X146"/>
    <mergeCell ref="P147:R147"/>
    <mergeCell ref="S147:U147"/>
    <mergeCell ref="V147:X147"/>
    <mergeCell ref="M156:O157"/>
    <mergeCell ref="P156:X156"/>
    <mergeCell ref="P157:R157"/>
    <mergeCell ref="S157:U157"/>
    <mergeCell ref="V157:X157"/>
    <mergeCell ref="B156:B158"/>
    <mergeCell ref="C156:C158"/>
    <mergeCell ref="D156:E157"/>
    <mergeCell ref="F156:G157"/>
    <mergeCell ref="H156:I157"/>
    <mergeCell ref="C166:C168"/>
    <mergeCell ref="D166:E167"/>
    <mergeCell ref="F166:G167"/>
    <mergeCell ref="H166:I167"/>
    <mergeCell ref="J166:L167"/>
    <mergeCell ref="M166:O167"/>
    <mergeCell ref="P166:X166"/>
    <mergeCell ref="P167:R167"/>
    <mergeCell ref="S167:U167"/>
    <mergeCell ref="V167:X167"/>
    <mergeCell ref="B26:C33"/>
    <mergeCell ref="B186:B188"/>
    <mergeCell ref="C186:C188"/>
    <mergeCell ref="D186:E187"/>
    <mergeCell ref="F186:G187"/>
    <mergeCell ref="H186:I187"/>
    <mergeCell ref="J186:L187"/>
    <mergeCell ref="M186:O187"/>
    <mergeCell ref="P186:X186"/>
    <mergeCell ref="P187:R187"/>
    <mergeCell ref="S187:U187"/>
    <mergeCell ref="V187:X187"/>
    <mergeCell ref="B176:B178"/>
    <mergeCell ref="C176:C178"/>
    <mergeCell ref="D176:E177"/>
    <mergeCell ref="F176:G177"/>
    <mergeCell ref="H176:I177"/>
    <mergeCell ref="J176:L177"/>
    <mergeCell ref="M176:O177"/>
    <mergeCell ref="P176:X176"/>
    <mergeCell ref="P177:R177"/>
    <mergeCell ref="S177:U177"/>
    <mergeCell ref="V177:X177"/>
    <mergeCell ref="B166:B168"/>
  </mergeCells>
  <pageMargins left="0.39370078740157483" right="0.39370078740157483" top="0.78740157480314965" bottom="0.39370078740157483" header="0.86614173228346458" footer="0.51181102362204722"/>
  <pageSetup paperSize="9" scale="35" orientation="landscape" r:id="rId1"/>
  <headerFooter alignWithMargins="0"/>
  <rowBreaks count="2" manualBreakCount="2">
    <brk id="75" max="23" man="1"/>
    <brk id="135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B1:X86"/>
  <sheetViews>
    <sheetView view="pageBreakPreview" topLeftCell="A7" zoomScale="60" zoomScaleNormal="100" workbookViewId="0">
      <selection activeCell="B39" sqref="B39"/>
    </sheetView>
  </sheetViews>
  <sheetFormatPr defaultRowHeight="12.75"/>
  <cols>
    <col min="1" max="1" width="4.28515625" style="8" customWidth="1"/>
    <col min="2" max="2" width="8.42578125" style="8" customWidth="1"/>
    <col min="3" max="3" width="18.140625" style="8" customWidth="1"/>
    <col min="4" max="8" width="17.85546875" style="8" customWidth="1"/>
    <col min="9" max="9" width="14" style="8" customWidth="1"/>
    <col min="10" max="12" width="19.85546875" style="8" customWidth="1"/>
    <col min="13" max="13" width="26" style="8" customWidth="1"/>
    <col min="14" max="15" width="19.85546875" style="8" customWidth="1"/>
    <col min="16" max="16" width="19.5703125" style="8" customWidth="1"/>
    <col min="17" max="17" width="18.42578125" style="8" customWidth="1"/>
    <col min="18" max="18" width="18" style="8" customWidth="1"/>
    <col min="19" max="21" width="20.85546875" style="8" customWidth="1"/>
    <col min="22" max="24" width="16.42578125" style="8" customWidth="1"/>
    <col min="25" max="16384" width="9.140625" style="8"/>
  </cols>
  <sheetData>
    <row r="1" spans="2:24" ht="38.25">
      <c r="S1" s="718" t="s">
        <v>42</v>
      </c>
      <c r="T1" s="718"/>
      <c r="U1" s="718"/>
      <c r="V1" s="718"/>
      <c r="W1" s="718"/>
      <c r="X1" s="718"/>
    </row>
    <row r="2" spans="2:24" ht="21" customHeight="1">
      <c r="S2" s="12"/>
      <c r="T2" s="13"/>
      <c r="U2" s="13"/>
      <c r="V2" s="12"/>
      <c r="W2" s="12"/>
      <c r="X2" s="12"/>
    </row>
    <row r="3" spans="2:24" ht="23.25">
      <c r="R3" s="724" t="s">
        <v>75</v>
      </c>
      <c r="S3" s="724"/>
      <c r="T3" s="724"/>
      <c r="U3" s="724"/>
      <c r="V3" s="724"/>
      <c r="W3" s="724"/>
      <c r="X3" s="724"/>
    </row>
    <row r="4" spans="2:24" ht="23.25" customHeight="1">
      <c r="R4" s="725" t="s">
        <v>80</v>
      </c>
      <c r="S4" s="724"/>
      <c r="T4" s="724"/>
      <c r="U4" s="724"/>
      <c r="V4" s="724"/>
      <c r="W4" s="724"/>
      <c r="X4" s="724"/>
    </row>
    <row r="5" spans="2:24" ht="23.25" customHeight="1">
      <c r="R5" s="725" t="s">
        <v>81</v>
      </c>
      <c r="S5" s="725"/>
      <c r="T5" s="725"/>
      <c r="U5" s="725"/>
      <c r="V5" s="725"/>
      <c r="W5" s="725"/>
      <c r="X5" s="725"/>
    </row>
    <row r="6" spans="2:24" ht="23.25" customHeight="1">
      <c r="R6" s="725" t="s">
        <v>82</v>
      </c>
      <c r="S6" s="725"/>
      <c r="T6" s="725"/>
      <c r="U6" s="725"/>
      <c r="V6" s="725"/>
      <c r="W6" s="725"/>
      <c r="X6" s="725"/>
    </row>
    <row r="7" spans="2:24" ht="23.25" customHeight="1">
      <c r="R7" s="725" t="s">
        <v>78</v>
      </c>
      <c r="S7" s="725"/>
      <c r="T7" s="725"/>
      <c r="U7" s="725"/>
      <c r="V7" s="725"/>
      <c r="W7" s="725"/>
      <c r="X7" s="725"/>
    </row>
    <row r="8" spans="2:24" ht="38.25">
      <c r="B8" s="718" t="s">
        <v>41</v>
      </c>
      <c r="C8" s="718"/>
      <c r="D8" s="718"/>
      <c r="E8" s="718"/>
      <c r="F8" s="718"/>
      <c r="G8" s="718"/>
      <c r="H8" s="718"/>
      <c r="I8" s="718"/>
      <c r="J8" s="718"/>
      <c r="K8" s="718"/>
      <c r="L8" s="718"/>
      <c r="M8" s="718"/>
      <c r="N8" s="718"/>
      <c r="O8" s="718"/>
      <c r="P8" s="718"/>
      <c r="Q8" s="718"/>
      <c r="R8" s="718"/>
      <c r="S8" s="718"/>
      <c r="T8" s="718"/>
      <c r="U8" s="718"/>
      <c r="V8" s="718"/>
      <c r="W8" s="718"/>
      <c r="X8" s="718"/>
    </row>
    <row r="9" spans="2:24" ht="34.5" customHeight="1">
      <c r="B9" s="718" t="s">
        <v>86</v>
      </c>
      <c r="C9" s="718"/>
      <c r="D9" s="718"/>
      <c r="E9" s="718"/>
      <c r="F9" s="718"/>
      <c r="G9" s="718"/>
      <c r="H9" s="718"/>
      <c r="I9" s="718"/>
      <c r="J9" s="718"/>
      <c r="K9" s="718"/>
      <c r="L9" s="718"/>
      <c r="M9" s="718"/>
      <c r="N9" s="718"/>
      <c r="O9" s="718"/>
      <c r="P9" s="718"/>
      <c r="Q9" s="718"/>
      <c r="R9" s="718"/>
      <c r="S9" s="718"/>
      <c r="T9" s="718"/>
      <c r="U9" s="718"/>
      <c r="V9" s="718"/>
      <c r="W9" s="718"/>
      <c r="X9" s="718"/>
    </row>
    <row r="10" spans="2:24" ht="30" customHeight="1">
      <c r="B10" s="718" t="s">
        <v>87</v>
      </c>
      <c r="C10" s="718"/>
      <c r="D10" s="718"/>
      <c r="E10" s="718"/>
      <c r="F10" s="718"/>
      <c r="G10" s="718"/>
      <c r="H10" s="718"/>
      <c r="I10" s="718"/>
      <c r="J10" s="718"/>
      <c r="K10" s="718"/>
      <c r="L10" s="718"/>
      <c r="M10" s="718"/>
      <c r="N10" s="718"/>
      <c r="O10" s="718"/>
      <c r="P10" s="718"/>
      <c r="Q10" s="718"/>
      <c r="R10" s="718"/>
      <c r="S10" s="718"/>
      <c r="T10" s="718"/>
      <c r="U10" s="718"/>
      <c r="V10" s="718"/>
      <c r="W10" s="718"/>
      <c r="X10" s="718"/>
    </row>
    <row r="11" spans="2:24" ht="25.5">
      <c r="B11" s="692" t="s">
        <v>126</v>
      </c>
      <c r="C11" s="693"/>
      <c r="D11" s="693"/>
      <c r="E11" s="693"/>
      <c r="F11" s="693"/>
      <c r="G11" s="693"/>
      <c r="H11" s="693"/>
      <c r="I11" s="693"/>
      <c r="J11" s="693"/>
      <c r="K11" s="693"/>
      <c r="L11" s="693"/>
      <c r="M11" s="693"/>
      <c r="N11" s="693"/>
      <c r="O11" s="693"/>
      <c r="P11" s="693"/>
      <c r="Q11" s="693"/>
      <c r="R11" s="693"/>
      <c r="S11" s="693"/>
      <c r="T11" s="693"/>
      <c r="U11" s="693"/>
      <c r="V11" s="693"/>
      <c r="W11" s="693"/>
      <c r="X11" s="693"/>
    </row>
    <row r="12" spans="2:24" ht="27" customHeight="1">
      <c r="B12" s="692" t="s">
        <v>98</v>
      </c>
      <c r="C12" s="735"/>
      <c r="D12" s="735"/>
      <c r="E12" s="735"/>
      <c r="F12" s="735"/>
      <c r="G12" s="735"/>
      <c r="H12" s="735"/>
      <c r="I12" s="735"/>
      <c r="J12" s="735"/>
      <c r="K12" s="735"/>
      <c r="L12" s="735"/>
      <c r="M12" s="735"/>
      <c r="N12" s="735"/>
      <c r="O12" s="735"/>
      <c r="P12" s="735"/>
      <c r="Q12" s="735"/>
      <c r="R12" s="735"/>
      <c r="S12" s="735"/>
      <c r="T12" s="735"/>
      <c r="U12" s="735"/>
      <c r="V12" s="735"/>
      <c r="W12" s="735"/>
      <c r="X12" s="735"/>
    </row>
    <row r="13" spans="2:24" ht="18.75">
      <c r="B13" s="662" t="s">
        <v>12</v>
      </c>
      <c r="C13" s="662"/>
      <c r="D13" s="662"/>
      <c r="E13" s="662"/>
      <c r="F13" s="662"/>
      <c r="G13" s="662"/>
      <c r="H13" s="662"/>
      <c r="I13" s="662"/>
      <c r="J13" s="662"/>
      <c r="K13" s="662"/>
      <c r="L13" s="662"/>
      <c r="M13" s="662"/>
      <c r="N13" s="662"/>
      <c r="O13" s="662"/>
      <c r="P13" s="662"/>
      <c r="Q13" s="662"/>
      <c r="R13" s="662"/>
      <c r="S13" s="662"/>
      <c r="T13" s="662"/>
      <c r="U13" s="662"/>
      <c r="V13" s="662"/>
      <c r="W13" s="662"/>
      <c r="X13" s="662"/>
    </row>
    <row r="14" spans="2:24" ht="30.75" customHeight="1" thickBot="1"/>
    <row r="15" spans="2:24" ht="15.75" customHeight="1">
      <c r="B15" s="736"/>
      <c r="C15" s="727" t="s">
        <v>30</v>
      </c>
      <c r="D15" s="720" t="s">
        <v>38</v>
      </c>
      <c r="E15" s="721"/>
      <c r="F15" s="720" t="s">
        <v>39</v>
      </c>
      <c r="G15" s="721"/>
      <c r="H15" s="720" t="s">
        <v>37</v>
      </c>
      <c r="I15" s="721"/>
      <c r="J15" s="720" t="s">
        <v>50</v>
      </c>
      <c r="K15" s="721"/>
      <c r="L15" s="730"/>
      <c r="M15" s="720" t="s">
        <v>36</v>
      </c>
      <c r="N15" s="721"/>
      <c r="O15" s="730"/>
      <c r="P15" s="727" t="s">
        <v>32</v>
      </c>
      <c r="Q15" s="727"/>
      <c r="R15" s="727"/>
      <c r="S15" s="727"/>
      <c r="T15" s="727"/>
      <c r="U15" s="727"/>
      <c r="V15" s="727"/>
      <c r="W15" s="728"/>
      <c r="X15" s="729"/>
    </row>
    <row r="16" spans="2:24" ht="41.25" customHeight="1">
      <c r="B16" s="737"/>
      <c r="C16" s="719"/>
      <c r="D16" s="722"/>
      <c r="E16" s="723"/>
      <c r="F16" s="722"/>
      <c r="G16" s="723"/>
      <c r="H16" s="722"/>
      <c r="I16" s="723"/>
      <c r="J16" s="731"/>
      <c r="K16" s="732"/>
      <c r="L16" s="733"/>
      <c r="M16" s="731"/>
      <c r="N16" s="732"/>
      <c r="O16" s="733"/>
      <c r="P16" s="719" t="s">
        <v>53</v>
      </c>
      <c r="Q16" s="719"/>
      <c r="R16" s="719"/>
      <c r="S16" s="719" t="s">
        <v>54</v>
      </c>
      <c r="T16" s="719"/>
      <c r="U16" s="719"/>
      <c r="V16" s="719" t="s">
        <v>33</v>
      </c>
      <c r="W16" s="719"/>
      <c r="X16" s="734"/>
    </row>
    <row r="17" spans="2:24" ht="68.25" customHeight="1" thickBot="1">
      <c r="B17" s="738"/>
      <c r="C17" s="739"/>
      <c r="D17" s="183" t="s">
        <v>47</v>
      </c>
      <c r="E17" s="183" t="s">
        <v>14</v>
      </c>
      <c r="F17" s="183" t="s">
        <v>47</v>
      </c>
      <c r="G17" s="183" t="s">
        <v>14</v>
      </c>
      <c r="H17" s="183" t="s">
        <v>47</v>
      </c>
      <c r="I17" s="183" t="s">
        <v>14</v>
      </c>
      <c r="J17" s="183" t="s">
        <v>48</v>
      </c>
      <c r="K17" s="183" t="s">
        <v>19</v>
      </c>
      <c r="L17" s="183" t="s">
        <v>31</v>
      </c>
      <c r="M17" s="183" t="s">
        <v>48</v>
      </c>
      <c r="N17" s="183" t="s">
        <v>19</v>
      </c>
      <c r="O17" s="183" t="s">
        <v>31</v>
      </c>
      <c r="P17" s="183" t="s">
        <v>48</v>
      </c>
      <c r="Q17" s="183" t="s">
        <v>19</v>
      </c>
      <c r="R17" s="183" t="s">
        <v>31</v>
      </c>
      <c r="S17" s="183" t="s">
        <v>48</v>
      </c>
      <c r="T17" s="183" t="s">
        <v>19</v>
      </c>
      <c r="U17" s="183" t="s">
        <v>31</v>
      </c>
      <c r="V17" s="183" t="s">
        <v>48</v>
      </c>
      <c r="W17" s="183" t="s">
        <v>19</v>
      </c>
      <c r="X17" s="18" t="s">
        <v>31</v>
      </c>
    </row>
    <row r="18" spans="2:24" ht="13.5" thickBot="1">
      <c r="B18" s="211">
        <v>1</v>
      </c>
      <c r="C18" s="19">
        <v>2</v>
      </c>
      <c r="D18" s="19">
        <v>3</v>
      </c>
      <c r="E18" s="19">
        <v>4</v>
      </c>
      <c r="F18" s="19">
        <v>5</v>
      </c>
      <c r="G18" s="19">
        <v>6</v>
      </c>
      <c r="H18" s="19">
        <v>7</v>
      </c>
      <c r="I18" s="19">
        <v>8</v>
      </c>
      <c r="J18" s="19">
        <v>9</v>
      </c>
      <c r="K18" s="19">
        <v>10</v>
      </c>
      <c r="L18" s="19">
        <v>11</v>
      </c>
      <c r="M18" s="19">
        <v>12</v>
      </c>
      <c r="N18" s="19">
        <v>13</v>
      </c>
      <c r="O18" s="19">
        <v>14</v>
      </c>
      <c r="P18" s="19">
        <v>15</v>
      </c>
      <c r="Q18" s="19">
        <v>16</v>
      </c>
      <c r="R18" s="19">
        <v>17</v>
      </c>
      <c r="S18" s="19">
        <v>18</v>
      </c>
      <c r="T18" s="19">
        <v>19</v>
      </c>
      <c r="U18" s="19">
        <v>20</v>
      </c>
      <c r="V18" s="19">
        <v>21</v>
      </c>
      <c r="W18" s="19">
        <v>22</v>
      </c>
      <c r="X18" s="21">
        <v>23</v>
      </c>
    </row>
    <row r="19" spans="2:24" ht="38.25">
      <c r="B19" s="212" t="s">
        <v>1</v>
      </c>
      <c r="C19" s="213" t="s">
        <v>3</v>
      </c>
      <c r="D19" s="430">
        <f>SUM(D20:D22)</f>
        <v>12325.970000000001</v>
      </c>
      <c r="E19" s="430">
        <f t="shared" ref="E19:X19" si="0">SUM(E20:E22)</f>
        <v>12619.880000000001</v>
      </c>
      <c r="F19" s="430">
        <f t="shared" si="0"/>
        <v>12209.06</v>
      </c>
      <c r="G19" s="430">
        <f t="shared" si="0"/>
        <v>12270.089999999998</v>
      </c>
      <c r="H19" s="430">
        <f t="shared" si="0"/>
        <v>8709.33</v>
      </c>
      <c r="I19" s="430">
        <f t="shared" si="0"/>
        <v>8576.23</v>
      </c>
      <c r="J19" s="430">
        <f t="shared" si="0"/>
        <v>4847131.54</v>
      </c>
      <c r="K19" s="430">
        <f t="shared" si="0"/>
        <v>5715280.0600000005</v>
      </c>
      <c r="L19" s="430">
        <f t="shared" si="0"/>
        <v>3772403.7699999996</v>
      </c>
      <c r="M19" s="430">
        <f t="shared" si="0"/>
        <v>2726345.4600000009</v>
      </c>
      <c r="N19" s="430">
        <f t="shared" si="0"/>
        <v>2842432.6700000004</v>
      </c>
      <c r="O19" s="430">
        <f t="shared" si="0"/>
        <v>1945716.2599999998</v>
      </c>
      <c r="P19" s="430">
        <f t="shared" si="0"/>
        <v>959527.08999999985</v>
      </c>
      <c r="Q19" s="430">
        <f t="shared" si="0"/>
        <v>971769.4</v>
      </c>
      <c r="R19" s="430">
        <f t="shared" si="0"/>
        <v>669057.11</v>
      </c>
      <c r="S19" s="430">
        <f t="shared" si="0"/>
        <v>1704724.49</v>
      </c>
      <c r="T19" s="430">
        <f t="shared" si="0"/>
        <v>1803625.7400000002</v>
      </c>
      <c r="U19" s="430">
        <f t="shared" si="0"/>
        <v>1233386.3699999999</v>
      </c>
      <c r="V19" s="430">
        <f t="shared" si="0"/>
        <v>62093.88</v>
      </c>
      <c r="W19" s="430">
        <f t="shared" si="0"/>
        <v>67037.53</v>
      </c>
      <c r="X19" s="430">
        <f t="shared" si="0"/>
        <v>43272.78</v>
      </c>
    </row>
    <row r="20" spans="2:24" ht="25.5">
      <c r="B20" s="214" t="s">
        <v>20</v>
      </c>
      <c r="C20" s="215" t="s">
        <v>16</v>
      </c>
      <c r="D20" s="431">
        <f>D45+D61+D76</f>
        <v>13</v>
      </c>
      <c r="E20" s="431">
        <f t="shared" ref="E20:X22" si="1">E45+E61+E76</f>
        <v>13</v>
      </c>
      <c r="F20" s="431">
        <f t="shared" si="1"/>
        <v>12</v>
      </c>
      <c r="G20" s="431">
        <f t="shared" si="1"/>
        <v>12</v>
      </c>
      <c r="H20" s="431">
        <f t="shared" si="1"/>
        <v>11</v>
      </c>
      <c r="I20" s="431">
        <f t="shared" si="1"/>
        <v>11</v>
      </c>
      <c r="J20" s="431">
        <f t="shared" si="1"/>
        <v>7257.52</v>
      </c>
      <c r="K20" s="431">
        <f t="shared" si="1"/>
        <v>7257.52</v>
      </c>
      <c r="L20" s="431">
        <f t="shared" si="1"/>
        <v>4802.83</v>
      </c>
      <c r="M20" s="431">
        <f t="shared" si="1"/>
        <v>5368.7</v>
      </c>
      <c r="N20" s="431">
        <f t="shared" si="1"/>
        <v>5368.7</v>
      </c>
      <c r="O20" s="431">
        <f t="shared" si="1"/>
        <v>3589.31</v>
      </c>
      <c r="P20" s="431">
        <f t="shared" si="1"/>
        <v>5368.7</v>
      </c>
      <c r="Q20" s="431">
        <f t="shared" si="1"/>
        <v>5368.7</v>
      </c>
      <c r="R20" s="431">
        <f t="shared" si="1"/>
        <v>3589.31</v>
      </c>
      <c r="S20" s="431">
        <f t="shared" si="1"/>
        <v>0</v>
      </c>
      <c r="T20" s="431">
        <f t="shared" si="1"/>
        <v>0</v>
      </c>
      <c r="U20" s="431">
        <f t="shared" si="1"/>
        <v>0</v>
      </c>
      <c r="V20" s="431">
        <f t="shared" si="1"/>
        <v>0</v>
      </c>
      <c r="W20" s="431">
        <f t="shared" si="1"/>
        <v>0</v>
      </c>
      <c r="X20" s="431">
        <f t="shared" si="1"/>
        <v>0</v>
      </c>
    </row>
    <row r="21" spans="2:24" ht="25.5">
      <c r="B21" s="214" t="s">
        <v>21</v>
      </c>
      <c r="C21" s="215" t="s">
        <v>17</v>
      </c>
      <c r="D21" s="431">
        <f t="shared" ref="D21:S22" si="2">D46+D62+D77</f>
        <v>11147.230000000001</v>
      </c>
      <c r="E21" s="431">
        <f t="shared" si="2"/>
        <v>11417.19</v>
      </c>
      <c r="F21" s="431">
        <f t="shared" si="2"/>
        <v>11052.43</v>
      </c>
      <c r="G21" s="431">
        <f t="shared" si="2"/>
        <v>11152.619999999999</v>
      </c>
      <c r="H21" s="431">
        <f t="shared" si="2"/>
        <v>7872.33</v>
      </c>
      <c r="I21" s="431">
        <f t="shared" si="2"/>
        <v>7775.23</v>
      </c>
      <c r="J21" s="431">
        <f t="shared" si="2"/>
        <v>4412937.95</v>
      </c>
      <c r="K21" s="431">
        <f t="shared" si="2"/>
        <v>5235713.7700000005</v>
      </c>
      <c r="L21" s="431">
        <f t="shared" si="2"/>
        <v>3450550.4699999997</v>
      </c>
      <c r="M21" s="431">
        <f t="shared" si="2"/>
        <v>2469457.0200000005</v>
      </c>
      <c r="N21" s="431">
        <f t="shared" si="2"/>
        <v>2591065.6700000004</v>
      </c>
      <c r="O21" s="431">
        <f t="shared" si="2"/>
        <v>1764950.7799999998</v>
      </c>
      <c r="P21" s="431">
        <f t="shared" si="2"/>
        <v>817352.11999999988</v>
      </c>
      <c r="Q21" s="431">
        <f t="shared" si="2"/>
        <v>842134.53</v>
      </c>
      <c r="R21" s="431">
        <f t="shared" si="2"/>
        <v>571324.34</v>
      </c>
      <c r="S21" s="431">
        <f t="shared" si="2"/>
        <v>1597332.08</v>
      </c>
      <c r="T21" s="431">
        <f t="shared" si="1"/>
        <v>1689674.11</v>
      </c>
      <c r="U21" s="431">
        <f t="shared" si="1"/>
        <v>1155118.1599999999</v>
      </c>
      <c r="V21" s="431">
        <f t="shared" si="1"/>
        <v>54772.82</v>
      </c>
      <c r="W21" s="431">
        <f t="shared" si="1"/>
        <v>59257.03</v>
      </c>
      <c r="X21" s="431">
        <f t="shared" si="1"/>
        <v>38508.28</v>
      </c>
    </row>
    <row r="22" spans="2:24" ht="25.5">
      <c r="B22" s="214" t="s">
        <v>22</v>
      </c>
      <c r="C22" s="215" t="s">
        <v>18</v>
      </c>
      <c r="D22" s="431">
        <f t="shared" si="2"/>
        <v>1165.74</v>
      </c>
      <c r="E22" s="431">
        <f t="shared" si="1"/>
        <v>1189.69</v>
      </c>
      <c r="F22" s="431">
        <f t="shared" si="1"/>
        <v>1144.6299999999999</v>
      </c>
      <c r="G22" s="431">
        <f t="shared" si="1"/>
        <v>1105.47</v>
      </c>
      <c r="H22" s="431">
        <f t="shared" si="1"/>
        <v>826</v>
      </c>
      <c r="I22" s="431">
        <f t="shared" si="1"/>
        <v>790</v>
      </c>
      <c r="J22" s="431">
        <f t="shared" si="1"/>
        <v>426936.07</v>
      </c>
      <c r="K22" s="431">
        <f t="shared" si="1"/>
        <v>472308.77</v>
      </c>
      <c r="L22" s="431">
        <f t="shared" si="1"/>
        <v>317050.46999999997</v>
      </c>
      <c r="M22" s="431">
        <f t="shared" si="1"/>
        <v>251519.74</v>
      </c>
      <c r="N22" s="431">
        <f t="shared" si="1"/>
        <v>245998.30000000002</v>
      </c>
      <c r="O22" s="431">
        <f t="shared" si="1"/>
        <v>177176.17000000004</v>
      </c>
      <c r="P22" s="431">
        <f t="shared" si="1"/>
        <v>136806.27000000002</v>
      </c>
      <c r="Q22" s="431">
        <f t="shared" si="1"/>
        <v>124266.17</v>
      </c>
      <c r="R22" s="431">
        <f t="shared" si="1"/>
        <v>94143.46</v>
      </c>
      <c r="S22" s="431">
        <f t="shared" si="1"/>
        <v>107392.41</v>
      </c>
      <c r="T22" s="431">
        <f t="shared" si="1"/>
        <v>113951.63</v>
      </c>
      <c r="U22" s="431">
        <f t="shared" si="1"/>
        <v>78268.210000000006</v>
      </c>
      <c r="V22" s="431">
        <f t="shared" si="1"/>
        <v>7321.06</v>
      </c>
      <c r="W22" s="431">
        <f t="shared" si="1"/>
        <v>7780.5</v>
      </c>
      <c r="X22" s="431">
        <f t="shared" si="1"/>
        <v>4764.5</v>
      </c>
    </row>
    <row r="23" spans="2:24" ht="54" customHeight="1">
      <c r="B23" s="216" t="s">
        <v>2</v>
      </c>
      <c r="C23" s="217" t="s">
        <v>34</v>
      </c>
      <c r="D23" s="432">
        <f>SUM(D24:D29)</f>
        <v>12325.970000000001</v>
      </c>
      <c r="E23" s="432">
        <f t="shared" ref="E23:X23" si="3">SUM(E24:E29)</f>
        <v>12619.880000000001</v>
      </c>
      <c r="F23" s="432">
        <f t="shared" si="3"/>
        <v>12209.06</v>
      </c>
      <c r="G23" s="432">
        <f t="shared" si="3"/>
        <v>12270.09</v>
      </c>
      <c r="H23" s="432">
        <f t="shared" si="3"/>
        <v>8709.33</v>
      </c>
      <c r="I23" s="432">
        <f t="shared" si="3"/>
        <v>8576.23</v>
      </c>
      <c r="J23" s="432">
        <f t="shared" si="3"/>
        <v>4847131.54</v>
      </c>
      <c r="K23" s="432">
        <f t="shared" si="3"/>
        <v>5715280.0600000005</v>
      </c>
      <c r="L23" s="432">
        <f t="shared" si="3"/>
        <v>3772403.77</v>
      </c>
      <c r="M23" s="432">
        <f t="shared" si="3"/>
        <v>2726345.46</v>
      </c>
      <c r="N23" s="432">
        <f t="shared" si="3"/>
        <v>2842432.6699999995</v>
      </c>
      <c r="O23" s="432">
        <f t="shared" si="3"/>
        <v>1945716.26</v>
      </c>
      <c r="P23" s="432">
        <f t="shared" si="3"/>
        <v>959527.09</v>
      </c>
      <c r="Q23" s="432">
        <f t="shared" si="3"/>
        <v>971769.4</v>
      </c>
      <c r="R23" s="432">
        <f t="shared" si="3"/>
        <v>669057.11</v>
      </c>
      <c r="S23" s="432">
        <f t="shared" si="3"/>
        <v>1704724.49</v>
      </c>
      <c r="T23" s="432">
        <f t="shared" si="3"/>
        <v>1803625.7400000002</v>
      </c>
      <c r="U23" s="432">
        <f t="shared" si="3"/>
        <v>1233386.3700000001</v>
      </c>
      <c r="V23" s="432">
        <f t="shared" si="3"/>
        <v>62093.88</v>
      </c>
      <c r="W23" s="432">
        <f t="shared" si="3"/>
        <v>67037.53</v>
      </c>
      <c r="X23" s="432">
        <f t="shared" si="3"/>
        <v>43272.78</v>
      </c>
    </row>
    <row r="24" spans="2:24" ht="42" customHeight="1">
      <c r="B24" s="214" t="s">
        <v>20</v>
      </c>
      <c r="C24" s="215" t="s">
        <v>4</v>
      </c>
      <c r="D24" s="431">
        <f>D49+D65+D80</f>
        <v>6004.53</v>
      </c>
      <c r="E24" s="431">
        <f t="shared" ref="E24:X29" si="4">E49+E65+E80</f>
        <v>6100.63</v>
      </c>
      <c r="F24" s="431">
        <f t="shared" si="4"/>
        <v>5963.57</v>
      </c>
      <c r="G24" s="431">
        <f t="shared" si="4"/>
        <v>5960.74</v>
      </c>
      <c r="H24" s="431">
        <f t="shared" si="4"/>
        <v>3695</v>
      </c>
      <c r="I24" s="431">
        <f t="shared" si="4"/>
        <v>3605.2</v>
      </c>
      <c r="J24" s="431">
        <f t="shared" si="4"/>
        <v>1999907.25</v>
      </c>
      <c r="K24" s="431">
        <f t="shared" si="4"/>
        <v>2715000.49</v>
      </c>
      <c r="L24" s="431">
        <f t="shared" si="4"/>
        <v>1710011.35</v>
      </c>
      <c r="M24" s="431">
        <f t="shared" si="4"/>
        <v>1251417.8399999999</v>
      </c>
      <c r="N24" s="431">
        <f t="shared" si="4"/>
        <v>1360015.5</v>
      </c>
      <c r="O24" s="431">
        <f t="shared" si="4"/>
        <v>914441.11</v>
      </c>
      <c r="P24" s="431">
        <f t="shared" si="4"/>
        <v>249792</v>
      </c>
      <c r="Q24" s="431">
        <f t="shared" si="4"/>
        <v>261152.73</v>
      </c>
      <c r="R24" s="431">
        <f t="shared" si="4"/>
        <v>177547.84</v>
      </c>
      <c r="S24" s="431">
        <f t="shared" si="4"/>
        <v>962023.38</v>
      </c>
      <c r="T24" s="431">
        <f t="shared" si="4"/>
        <v>1057201.32</v>
      </c>
      <c r="U24" s="431">
        <f t="shared" si="4"/>
        <v>710528.17</v>
      </c>
      <c r="V24" s="431">
        <f t="shared" si="4"/>
        <v>39602.46</v>
      </c>
      <c r="W24" s="431">
        <f t="shared" si="4"/>
        <v>41661.449999999997</v>
      </c>
      <c r="X24" s="431">
        <f t="shared" si="4"/>
        <v>26365.1</v>
      </c>
    </row>
    <row r="25" spans="2:24" ht="40.5" customHeight="1">
      <c r="B25" s="214" t="s">
        <v>21</v>
      </c>
      <c r="C25" s="215" t="s">
        <v>5</v>
      </c>
      <c r="D25" s="431">
        <f t="shared" ref="D25:S29" si="5">D50+D66+D81</f>
        <v>1449.88</v>
      </c>
      <c r="E25" s="431">
        <f t="shared" si="5"/>
        <v>1504.67</v>
      </c>
      <c r="F25" s="431">
        <f t="shared" si="5"/>
        <v>1429.38</v>
      </c>
      <c r="G25" s="431">
        <f t="shared" si="5"/>
        <v>1437.15</v>
      </c>
      <c r="H25" s="431">
        <f t="shared" si="5"/>
        <v>955.32999999999993</v>
      </c>
      <c r="I25" s="431">
        <f t="shared" si="5"/>
        <v>907.93</v>
      </c>
      <c r="J25" s="431">
        <f t="shared" si="5"/>
        <v>448681.57999999996</v>
      </c>
      <c r="K25" s="431">
        <f t="shared" si="5"/>
        <v>461074.17000000004</v>
      </c>
      <c r="L25" s="431">
        <f t="shared" si="5"/>
        <v>312989.27</v>
      </c>
      <c r="M25" s="431">
        <f t="shared" si="5"/>
        <v>288163.48000000004</v>
      </c>
      <c r="N25" s="431">
        <f t="shared" si="5"/>
        <v>268605.42</v>
      </c>
      <c r="O25" s="431">
        <f t="shared" si="5"/>
        <v>196977.37000000002</v>
      </c>
      <c r="P25" s="431">
        <f t="shared" si="5"/>
        <v>269619.13</v>
      </c>
      <c r="Q25" s="431">
        <f t="shared" si="5"/>
        <v>247424.40999999997</v>
      </c>
      <c r="R25" s="431">
        <f t="shared" si="5"/>
        <v>182185.1</v>
      </c>
      <c r="S25" s="431">
        <f t="shared" si="5"/>
        <v>0</v>
      </c>
      <c r="T25" s="431">
        <f t="shared" si="4"/>
        <v>0</v>
      </c>
      <c r="U25" s="431">
        <f t="shared" si="4"/>
        <v>0</v>
      </c>
      <c r="V25" s="431">
        <f t="shared" si="4"/>
        <v>18544.349999999999</v>
      </c>
      <c r="W25" s="431">
        <f t="shared" si="4"/>
        <v>21181.01</v>
      </c>
      <c r="X25" s="431">
        <f t="shared" si="4"/>
        <v>14792.27</v>
      </c>
    </row>
    <row r="26" spans="2:24" ht="38.25">
      <c r="B26" s="214" t="s">
        <v>22</v>
      </c>
      <c r="C26" s="215" t="s">
        <v>6</v>
      </c>
      <c r="D26" s="431">
        <f t="shared" si="5"/>
        <v>4830.0600000000004</v>
      </c>
      <c r="E26" s="431">
        <f t="shared" si="4"/>
        <v>4964.58</v>
      </c>
      <c r="F26" s="431">
        <f t="shared" si="4"/>
        <v>4778.1099999999997</v>
      </c>
      <c r="G26" s="431">
        <f t="shared" si="4"/>
        <v>4827.2</v>
      </c>
      <c r="H26" s="431">
        <f t="shared" si="4"/>
        <v>4022</v>
      </c>
      <c r="I26" s="431">
        <f t="shared" si="4"/>
        <v>4021.2</v>
      </c>
      <c r="J26" s="431">
        <f t="shared" si="4"/>
        <v>2372863.62</v>
      </c>
      <c r="K26" s="431">
        <f t="shared" si="4"/>
        <v>2505245.8199999998</v>
      </c>
      <c r="L26" s="431">
        <f t="shared" si="4"/>
        <v>1727044.01</v>
      </c>
      <c r="M26" s="431">
        <f t="shared" si="4"/>
        <v>1170030.25</v>
      </c>
      <c r="N26" s="431">
        <f t="shared" si="4"/>
        <v>1197063.47</v>
      </c>
      <c r="O26" s="431">
        <f t="shared" si="4"/>
        <v>823373.94000000006</v>
      </c>
      <c r="P26" s="431">
        <f t="shared" si="4"/>
        <v>423382.07</v>
      </c>
      <c r="Q26" s="431">
        <f t="shared" si="4"/>
        <v>446443.98</v>
      </c>
      <c r="R26" s="431">
        <f t="shared" si="4"/>
        <v>298400.33</v>
      </c>
      <c r="S26" s="431">
        <f t="shared" si="4"/>
        <v>742701.11</v>
      </c>
      <c r="T26" s="431">
        <f t="shared" si="4"/>
        <v>746424.42</v>
      </c>
      <c r="U26" s="431">
        <f t="shared" si="4"/>
        <v>522858.2</v>
      </c>
      <c r="V26" s="431">
        <f t="shared" si="4"/>
        <v>3947.07</v>
      </c>
      <c r="W26" s="431">
        <f t="shared" si="4"/>
        <v>4195.07</v>
      </c>
      <c r="X26" s="431">
        <f t="shared" si="4"/>
        <v>2115.41</v>
      </c>
    </row>
    <row r="27" spans="2:24" ht="63.75">
      <c r="B27" s="214" t="s">
        <v>23</v>
      </c>
      <c r="C27" s="215" t="s">
        <v>7</v>
      </c>
      <c r="D27" s="431">
        <f t="shared" si="5"/>
        <v>0</v>
      </c>
      <c r="E27" s="431">
        <f t="shared" si="4"/>
        <v>0</v>
      </c>
      <c r="F27" s="431">
        <f t="shared" si="4"/>
        <v>0</v>
      </c>
      <c r="G27" s="431">
        <f t="shared" si="4"/>
        <v>0</v>
      </c>
      <c r="H27" s="431">
        <f t="shared" si="4"/>
        <v>0</v>
      </c>
      <c r="I27" s="431">
        <f t="shared" si="4"/>
        <v>0</v>
      </c>
      <c r="J27" s="431">
        <f t="shared" si="4"/>
        <v>0</v>
      </c>
      <c r="K27" s="431">
        <f t="shared" si="4"/>
        <v>0</v>
      </c>
      <c r="L27" s="431">
        <f t="shared" si="4"/>
        <v>0</v>
      </c>
      <c r="M27" s="431">
        <f t="shared" si="4"/>
        <v>0</v>
      </c>
      <c r="N27" s="431">
        <f t="shared" si="4"/>
        <v>0</v>
      </c>
      <c r="O27" s="431">
        <f t="shared" si="4"/>
        <v>0</v>
      </c>
      <c r="P27" s="431">
        <f t="shared" si="4"/>
        <v>0</v>
      </c>
      <c r="Q27" s="431">
        <f t="shared" si="4"/>
        <v>0</v>
      </c>
      <c r="R27" s="431">
        <f t="shared" si="4"/>
        <v>0</v>
      </c>
      <c r="S27" s="431">
        <f t="shared" si="4"/>
        <v>0</v>
      </c>
      <c r="T27" s="431">
        <f t="shared" si="4"/>
        <v>0</v>
      </c>
      <c r="U27" s="431">
        <f t="shared" si="4"/>
        <v>0</v>
      </c>
      <c r="V27" s="431">
        <f t="shared" si="4"/>
        <v>0</v>
      </c>
      <c r="W27" s="431">
        <f t="shared" si="4"/>
        <v>0</v>
      </c>
      <c r="X27" s="431">
        <f t="shared" si="4"/>
        <v>0</v>
      </c>
    </row>
    <row r="28" spans="2:24" ht="38.25">
      <c r="B28" s="214" t="s">
        <v>24</v>
      </c>
      <c r="C28" s="215" t="s">
        <v>51</v>
      </c>
      <c r="D28" s="431">
        <f>D53+D69+D84</f>
        <v>10</v>
      </c>
      <c r="E28" s="431">
        <f t="shared" si="4"/>
        <v>12</v>
      </c>
      <c r="F28" s="431">
        <f t="shared" si="4"/>
        <v>10</v>
      </c>
      <c r="G28" s="431">
        <f t="shared" si="4"/>
        <v>12</v>
      </c>
      <c r="H28" s="431">
        <f t="shared" si="4"/>
        <v>10</v>
      </c>
      <c r="I28" s="431">
        <f t="shared" si="4"/>
        <v>10.9</v>
      </c>
      <c r="J28" s="431">
        <f t="shared" si="4"/>
        <v>4931.08</v>
      </c>
      <c r="K28" s="431">
        <f t="shared" si="4"/>
        <v>8644.59</v>
      </c>
      <c r="L28" s="431">
        <f t="shared" si="4"/>
        <v>5000.17</v>
      </c>
      <c r="M28" s="431">
        <f t="shared" si="4"/>
        <v>3322.15</v>
      </c>
      <c r="N28" s="431">
        <f t="shared" si="4"/>
        <v>3322.15</v>
      </c>
      <c r="O28" s="431">
        <f t="shared" si="4"/>
        <v>2159.5100000000002</v>
      </c>
      <c r="P28" s="431">
        <f t="shared" si="4"/>
        <v>3322.15</v>
      </c>
      <c r="Q28" s="431">
        <f t="shared" si="4"/>
        <v>3322.15</v>
      </c>
      <c r="R28" s="431">
        <f t="shared" si="4"/>
        <v>2159.5100000000002</v>
      </c>
      <c r="S28" s="431">
        <f t="shared" si="4"/>
        <v>0</v>
      </c>
      <c r="T28" s="431">
        <f t="shared" si="4"/>
        <v>0</v>
      </c>
      <c r="U28" s="431">
        <f t="shared" si="4"/>
        <v>0</v>
      </c>
      <c r="V28" s="431">
        <f t="shared" si="4"/>
        <v>0</v>
      </c>
      <c r="W28" s="431">
        <f t="shared" si="4"/>
        <v>0</v>
      </c>
      <c r="X28" s="431">
        <f t="shared" si="4"/>
        <v>0</v>
      </c>
    </row>
    <row r="29" spans="2:24" ht="18.75">
      <c r="B29" s="214" t="s">
        <v>94</v>
      </c>
      <c r="C29" s="215" t="s">
        <v>95</v>
      </c>
      <c r="D29" s="431">
        <f t="shared" si="5"/>
        <v>31.5</v>
      </c>
      <c r="E29" s="431">
        <f t="shared" si="4"/>
        <v>38</v>
      </c>
      <c r="F29" s="431">
        <f t="shared" si="4"/>
        <v>28</v>
      </c>
      <c r="G29" s="431">
        <f t="shared" si="4"/>
        <v>33</v>
      </c>
      <c r="H29" s="431">
        <f t="shared" si="4"/>
        <v>27</v>
      </c>
      <c r="I29" s="431">
        <f t="shared" si="4"/>
        <v>31</v>
      </c>
      <c r="J29" s="431">
        <f t="shared" si="4"/>
        <v>20748.009999999998</v>
      </c>
      <c r="K29" s="431">
        <f t="shared" si="4"/>
        <v>25314.99</v>
      </c>
      <c r="L29" s="431">
        <f t="shared" si="4"/>
        <v>17358.97</v>
      </c>
      <c r="M29" s="431">
        <f t="shared" si="4"/>
        <v>13411.74</v>
      </c>
      <c r="N29" s="431">
        <f t="shared" si="4"/>
        <v>13426.13</v>
      </c>
      <c r="O29" s="431">
        <f t="shared" si="4"/>
        <v>8764.33</v>
      </c>
      <c r="P29" s="431">
        <f t="shared" si="4"/>
        <v>13411.74</v>
      </c>
      <c r="Q29" s="431">
        <f t="shared" si="4"/>
        <v>13426.13</v>
      </c>
      <c r="R29" s="431">
        <f t="shared" si="4"/>
        <v>8764.33</v>
      </c>
      <c r="S29" s="431">
        <f t="shared" si="4"/>
        <v>0</v>
      </c>
      <c r="T29" s="431">
        <f t="shared" si="4"/>
        <v>0</v>
      </c>
      <c r="U29" s="431">
        <f t="shared" si="4"/>
        <v>0</v>
      </c>
      <c r="V29" s="431">
        <f t="shared" si="4"/>
        <v>0</v>
      </c>
      <c r="W29" s="431">
        <f t="shared" si="4"/>
        <v>0</v>
      </c>
      <c r="X29" s="431">
        <f t="shared" si="4"/>
        <v>0</v>
      </c>
    </row>
    <row r="30" spans="2:24" ht="12.75" customHeight="1">
      <c r="B30" s="726" t="s">
        <v>25</v>
      </c>
      <c r="C30" s="726"/>
      <c r="D30" s="726"/>
      <c r="E30" s="726"/>
      <c r="F30" s="726"/>
      <c r="G30" s="726"/>
      <c r="H30" s="726"/>
      <c r="I30" s="726"/>
      <c r="J30" s="726"/>
      <c r="K30" s="726"/>
      <c r="L30" s="726"/>
      <c r="M30" s="726"/>
      <c r="N30" s="726"/>
      <c r="O30" s="726"/>
      <c r="P30" s="726"/>
      <c r="Q30" s="726"/>
      <c r="R30" s="726"/>
      <c r="S30" s="726"/>
      <c r="T30" s="726"/>
      <c r="U30" s="726"/>
      <c r="V30" s="726"/>
    </row>
    <row r="31" spans="2:24" s="210" customFormat="1" ht="26.25">
      <c r="D31" s="210">
        <f>D19-D23</f>
        <v>0</v>
      </c>
      <c r="E31" s="210">
        <f t="shared" ref="E31:X31" si="6">E19-E23</f>
        <v>0</v>
      </c>
      <c r="F31" s="210">
        <f t="shared" si="6"/>
        <v>0</v>
      </c>
      <c r="G31" s="210">
        <f t="shared" si="6"/>
        <v>0</v>
      </c>
      <c r="H31" s="210">
        <f t="shared" si="6"/>
        <v>0</v>
      </c>
      <c r="I31" s="210">
        <f t="shared" si="6"/>
        <v>0</v>
      </c>
      <c r="J31" s="210">
        <f t="shared" si="6"/>
        <v>0</v>
      </c>
      <c r="K31" s="210">
        <f t="shared" si="6"/>
        <v>0</v>
      </c>
      <c r="L31" s="210">
        <f t="shared" si="6"/>
        <v>0</v>
      </c>
      <c r="M31" s="210">
        <f t="shared" si="6"/>
        <v>0</v>
      </c>
      <c r="N31" s="210">
        <f t="shared" si="6"/>
        <v>0</v>
      </c>
      <c r="O31" s="210">
        <f t="shared" si="6"/>
        <v>0</v>
      </c>
      <c r="P31" s="210">
        <f t="shared" si="6"/>
        <v>0</v>
      </c>
      <c r="Q31" s="210">
        <f t="shared" si="6"/>
        <v>0</v>
      </c>
      <c r="R31" s="210">
        <f t="shared" si="6"/>
        <v>0</v>
      </c>
      <c r="S31" s="210">
        <f t="shared" si="6"/>
        <v>0</v>
      </c>
      <c r="T31" s="210">
        <f t="shared" si="6"/>
        <v>0</v>
      </c>
      <c r="U31" s="210">
        <f t="shared" si="6"/>
        <v>0</v>
      </c>
      <c r="V31" s="210">
        <f t="shared" si="6"/>
        <v>0</v>
      </c>
      <c r="W31" s="210">
        <f t="shared" si="6"/>
        <v>0</v>
      </c>
      <c r="X31" s="210">
        <f t="shared" si="6"/>
        <v>0</v>
      </c>
    </row>
    <row r="32" spans="2:24">
      <c r="C32" s="27" t="s">
        <v>11</v>
      </c>
    </row>
    <row r="33" spans="2:24">
      <c r="C33" s="29"/>
    </row>
    <row r="34" spans="2:24">
      <c r="C34" s="8" t="s">
        <v>10</v>
      </c>
    </row>
    <row r="37" spans="2:24">
      <c r="B37" s="8" t="s">
        <v>26</v>
      </c>
    </row>
    <row r="38" spans="2:24">
      <c r="B38" s="8" t="s">
        <v>27</v>
      </c>
    </row>
    <row r="39" spans="2:24" ht="27" thickBot="1">
      <c r="B39" s="641">
        <v>606</v>
      </c>
      <c r="D39" s="198">
        <f>D44-D48</f>
        <v>0</v>
      </c>
      <c r="E39" s="198">
        <f t="shared" ref="E39:X39" si="7">E44-E48</f>
        <v>0</v>
      </c>
      <c r="F39" s="198">
        <f t="shared" si="7"/>
        <v>0</v>
      </c>
      <c r="G39" s="198">
        <f t="shared" si="7"/>
        <v>0</v>
      </c>
      <c r="H39" s="198">
        <f t="shared" si="7"/>
        <v>0</v>
      </c>
      <c r="I39" s="198">
        <f t="shared" si="7"/>
        <v>0</v>
      </c>
      <c r="J39" s="198">
        <f t="shared" si="7"/>
        <v>0</v>
      </c>
      <c r="K39" s="198">
        <f t="shared" si="7"/>
        <v>0</v>
      </c>
      <c r="L39" s="198">
        <f t="shared" si="7"/>
        <v>0</v>
      </c>
      <c r="M39" s="198">
        <f t="shared" si="7"/>
        <v>0</v>
      </c>
      <c r="N39" s="198">
        <f t="shared" si="7"/>
        <v>0</v>
      </c>
      <c r="O39" s="198">
        <f t="shared" si="7"/>
        <v>0</v>
      </c>
      <c r="P39" s="198">
        <f t="shared" si="7"/>
        <v>0</v>
      </c>
      <c r="Q39" s="198">
        <f t="shared" si="7"/>
        <v>0</v>
      </c>
      <c r="R39" s="198">
        <f t="shared" si="7"/>
        <v>0</v>
      </c>
      <c r="S39" s="198">
        <f t="shared" si="7"/>
        <v>0</v>
      </c>
      <c r="T39" s="198">
        <f t="shared" si="7"/>
        <v>0</v>
      </c>
      <c r="U39" s="198">
        <f t="shared" si="7"/>
        <v>0</v>
      </c>
      <c r="V39" s="198">
        <f t="shared" si="7"/>
        <v>0</v>
      </c>
      <c r="W39" s="198">
        <f t="shared" si="7"/>
        <v>0</v>
      </c>
      <c r="X39" s="198">
        <f t="shared" si="7"/>
        <v>0</v>
      </c>
    </row>
    <row r="40" spans="2:24">
      <c r="B40" s="701"/>
      <c r="C40" s="704" t="s">
        <v>30</v>
      </c>
      <c r="D40" s="707" t="s">
        <v>38</v>
      </c>
      <c r="E40" s="708"/>
      <c r="F40" s="707" t="s">
        <v>39</v>
      </c>
      <c r="G40" s="708"/>
      <c r="H40" s="707" t="s">
        <v>37</v>
      </c>
      <c r="I40" s="708"/>
      <c r="J40" s="707" t="s">
        <v>50</v>
      </c>
      <c r="K40" s="708"/>
      <c r="L40" s="711"/>
      <c r="M40" s="707" t="s">
        <v>36</v>
      </c>
      <c r="N40" s="708"/>
      <c r="O40" s="711"/>
      <c r="P40" s="704" t="s">
        <v>32</v>
      </c>
      <c r="Q40" s="704"/>
      <c r="R40" s="704"/>
      <c r="S40" s="704"/>
      <c r="T40" s="704"/>
      <c r="U40" s="704"/>
      <c r="V40" s="704"/>
      <c r="W40" s="715"/>
      <c r="X40" s="716"/>
    </row>
    <row r="41" spans="2:24">
      <c r="B41" s="702"/>
      <c r="C41" s="705"/>
      <c r="D41" s="709"/>
      <c r="E41" s="710"/>
      <c r="F41" s="709"/>
      <c r="G41" s="710"/>
      <c r="H41" s="709"/>
      <c r="I41" s="710"/>
      <c r="J41" s="712"/>
      <c r="K41" s="713"/>
      <c r="L41" s="714"/>
      <c r="M41" s="712"/>
      <c r="N41" s="713"/>
      <c r="O41" s="714"/>
      <c r="P41" s="705" t="s">
        <v>53</v>
      </c>
      <c r="Q41" s="705"/>
      <c r="R41" s="705"/>
      <c r="S41" s="705" t="s">
        <v>54</v>
      </c>
      <c r="T41" s="705"/>
      <c r="U41" s="705"/>
      <c r="V41" s="705" t="s">
        <v>33</v>
      </c>
      <c r="W41" s="705"/>
      <c r="X41" s="717"/>
    </row>
    <row r="42" spans="2:24" ht="51.75" thickBot="1">
      <c r="B42" s="703"/>
      <c r="C42" s="706"/>
      <c r="D42" s="92" t="s">
        <v>47</v>
      </c>
      <c r="E42" s="92" t="s">
        <v>14</v>
      </c>
      <c r="F42" s="92" t="s">
        <v>47</v>
      </c>
      <c r="G42" s="92" t="s">
        <v>14</v>
      </c>
      <c r="H42" s="92" t="s">
        <v>47</v>
      </c>
      <c r="I42" s="92" t="s">
        <v>14</v>
      </c>
      <c r="J42" s="92" t="s">
        <v>48</v>
      </c>
      <c r="K42" s="92" t="s">
        <v>19</v>
      </c>
      <c r="L42" s="92" t="s">
        <v>31</v>
      </c>
      <c r="M42" s="92" t="s">
        <v>48</v>
      </c>
      <c r="N42" s="92" t="s">
        <v>19</v>
      </c>
      <c r="O42" s="92" t="s">
        <v>31</v>
      </c>
      <c r="P42" s="92" t="s">
        <v>48</v>
      </c>
      <c r="Q42" s="92" t="s">
        <v>19</v>
      </c>
      <c r="R42" s="92" t="s">
        <v>31</v>
      </c>
      <c r="S42" s="92" t="s">
        <v>48</v>
      </c>
      <c r="T42" s="92" t="s">
        <v>19</v>
      </c>
      <c r="U42" s="92" t="s">
        <v>31</v>
      </c>
      <c r="V42" s="92" t="s">
        <v>48</v>
      </c>
      <c r="W42" s="92" t="s">
        <v>19</v>
      </c>
      <c r="X42" s="68" t="s">
        <v>31</v>
      </c>
    </row>
    <row r="43" spans="2:24" ht="13.5" thickBot="1">
      <c r="B43" s="85">
        <v>1</v>
      </c>
      <c r="C43" s="70">
        <v>2</v>
      </c>
      <c r="D43" s="70">
        <v>3</v>
      </c>
      <c r="E43" s="70">
        <v>4</v>
      </c>
      <c r="F43" s="70">
        <v>5</v>
      </c>
      <c r="G43" s="70">
        <v>6</v>
      </c>
      <c r="H43" s="70">
        <v>7</v>
      </c>
      <c r="I43" s="70">
        <v>8</v>
      </c>
      <c r="J43" s="70">
        <v>9</v>
      </c>
      <c r="K43" s="70">
        <v>10</v>
      </c>
      <c r="L43" s="70">
        <v>11</v>
      </c>
      <c r="M43" s="70">
        <v>12</v>
      </c>
      <c r="N43" s="70">
        <v>13</v>
      </c>
      <c r="O43" s="70">
        <v>14</v>
      </c>
      <c r="P43" s="70">
        <v>15</v>
      </c>
      <c r="Q43" s="70">
        <v>16</v>
      </c>
      <c r="R43" s="70">
        <v>17</v>
      </c>
      <c r="S43" s="70">
        <v>18</v>
      </c>
      <c r="T43" s="70">
        <v>19</v>
      </c>
      <c r="U43" s="70">
        <v>20</v>
      </c>
      <c r="V43" s="70">
        <v>21</v>
      </c>
      <c r="W43" s="70">
        <v>22</v>
      </c>
      <c r="X43" s="72">
        <v>23</v>
      </c>
    </row>
    <row r="44" spans="2:24" s="93" customFormat="1" ht="38.25">
      <c r="B44" s="94" t="s">
        <v>1</v>
      </c>
      <c r="C44" s="95" t="s">
        <v>3</v>
      </c>
      <c r="D44" s="423">
        <f>SUM(D45:D47)</f>
        <v>11639.900000000001</v>
      </c>
      <c r="E44" s="423">
        <f t="shared" ref="E44:L44" si="8">SUM(E45:E47)</f>
        <v>11881.52</v>
      </c>
      <c r="F44" s="423">
        <f t="shared" si="8"/>
        <v>11522.99</v>
      </c>
      <c r="G44" s="423">
        <f t="shared" si="8"/>
        <v>11531.73</v>
      </c>
      <c r="H44" s="423">
        <f t="shared" si="8"/>
        <v>8275</v>
      </c>
      <c r="I44" s="423">
        <f t="shared" si="8"/>
        <v>8168.4</v>
      </c>
      <c r="J44" s="423">
        <f t="shared" si="8"/>
        <v>4645052.1499999994</v>
      </c>
      <c r="K44" s="423">
        <f t="shared" si="8"/>
        <v>5496165.8499999996</v>
      </c>
      <c r="L44" s="423">
        <f t="shared" si="8"/>
        <v>3632231.3899999997</v>
      </c>
      <c r="M44" s="423">
        <f>SUM(M45:M47)</f>
        <v>2596656.0000000005</v>
      </c>
      <c r="N44" s="423">
        <f t="shared" ref="N44:X44" si="9">SUM(N45:N47)</f>
        <v>2711574.4400000004</v>
      </c>
      <c r="O44" s="423">
        <f t="shared" si="9"/>
        <v>1856661.46</v>
      </c>
      <c r="P44" s="423">
        <f t="shared" si="9"/>
        <v>845769.57</v>
      </c>
      <c r="Q44" s="423">
        <f t="shared" si="9"/>
        <v>858878.17999999993</v>
      </c>
      <c r="R44" s="423">
        <f t="shared" si="9"/>
        <v>593313.44999999995</v>
      </c>
      <c r="S44" s="423">
        <f t="shared" si="9"/>
        <v>1704724.49</v>
      </c>
      <c r="T44" s="423">
        <f t="shared" si="9"/>
        <v>1803625.7400000002</v>
      </c>
      <c r="U44" s="423">
        <f t="shared" si="9"/>
        <v>1233386.3699999999</v>
      </c>
      <c r="V44" s="423">
        <f t="shared" si="9"/>
        <v>46161.939999999995</v>
      </c>
      <c r="W44" s="423">
        <f t="shared" si="9"/>
        <v>49070.52</v>
      </c>
      <c r="X44" s="424">
        <f t="shared" si="9"/>
        <v>29961.64</v>
      </c>
    </row>
    <row r="45" spans="2:24" ht="25.5">
      <c r="B45" s="88" t="s">
        <v>20</v>
      </c>
      <c r="C45" s="89" t="s">
        <v>16</v>
      </c>
      <c r="D45" s="514">
        <v>13</v>
      </c>
      <c r="E45" s="515">
        <v>13</v>
      </c>
      <c r="F45" s="520">
        <v>12</v>
      </c>
      <c r="G45" s="471">
        <v>12</v>
      </c>
      <c r="H45" s="514">
        <v>11</v>
      </c>
      <c r="I45" s="515">
        <v>11</v>
      </c>
      <c r="J45" s="516">
        <v>7257.52</v>
      </c>
      <c r="K45" s="517">
        <v>7257.52</v>
      </c>
      <c r="L45" s="517">
        <v>4802.83</v>
      </c>
      <c r="M45" s="516">
        <f t="shared" ref="M45:O47" si="10">P45+S45+V45</f>
        <v>5368.7</v>
      </c>
      <c r="N45" s="518">
        <f t="shared" si="10"/>
        <v>5368.7</v>
      </c>
      <c r="O45" s="518">
        <f t="shared" si="10"/>
        <v>3589.31</v>
      </c>
      <c r="P45" s="516">
        <v>5368.7</v>
      </c>
      <c r="Q45" s="517">
        <v>5368.7</v>
      </c>
      <c r="R45" s="517">
        <v>3589.31</v>
      </c>
      <c r="S45" s="516"/>
      <c r="T45" s="517">
        <v>0</v>
      </c>
      <c r="U45" s="517">
        <v>0</v>
      </c>
      <c r="V45" s="516"/>
      <c r="W45" s="517">
        <v>0</v>
      </c>
      <c r="X45" s="517">
        <v>0</v>
      </c>
    </row>
    <row r="46" spans="2:24" ht="25.5">
      <c r="B46" s="88" t="s">
        <v>21</v>
      </c>
      <c r="C46" s="89" t="s">
        <v>17</v>
      </c>
      <c r="D46" s="514">
        <v>10532.95</v>
      </c>
      <c r="E46" s="515">
        <v>10763.62</v>
      </c>
      <c r="F46" s="514">
        <v>10438.15</v>
      </c>
      <c r="G46" s="515">
        <v>10499.05</v>
      </c>
      <c r="H46" s="514">
        <v>7482</v>
      </c>
      <c r="I46" s="515">
        <v>7408.9</v>
      </c>
      <c r="J46" s="516">
        <v>4229348.5</v>
      </c>
      <c r="K46" s="517">
        <v>5036407.95</v>
      </c>
      <c r="L46" s="517">
        <v>3323954.01</v>
      </c>
      <c r="M46" s="516">
        <f t="shared" si="10"/>
        <v>2351649.4500000002</v>
      </c>
      <c r="N46" s="518">
        <f t="shared" si="10"/>
        <v>2472410.9200000004</v>
      </c>
      <c r="O46" s="518">
        <f t="shared" si="10"/>
        <v>1684542.6199999999</v>
      </c>
      <c r="P46" s="516">
        <v>714526.49</v>
      </c>
      <c r="Q46" s="517">
        <v>740196.79</v>
      </c>
      <c r="R46" s="517">
        <v>503093.76000000001</v>
      </c>
      <c r="S46" s="516">
        <v>1597332.08</v>
      </c>
      <c r="T46" s="517">
        <v>1689674.11</v>
      </c>
      <c r="U46" s="517">
        <v>1155118.1599999999</v>
      </c>
      <c r="V46" s="516">
        <v>39790.879999999997</v>
      </c>
      <c r="W46" s="521">
        <v>42540.02</v>
      </c>
      <c r="X46" s="517">
        <v>26330.7</v>
      </c>
    </row>
    <row r="47" spans="2:24" ht="25.5">
      <c r="B47" s="88" t="s">
        <v>22</v>
      </c>
      <c r="C47" s="89" t="s">
        <v>18</v>
      </c>
      <c r="D47" s="514">
        <v>1093.95</v>
      </c>
      <c r="E47" s="515">
        <v>1104.9000000000001</v>
      </c>
      <c r="F47" s="514">
        <v>1072.8399999999999</v>
      </c>
      <c r="G47" s="515">
        <v>1020.68</v>
      </c>
      <c r="H47" s="514">
        <v>782</v>
      </c>
      <c r="I47" s="515">
        <v>748.5</v>
      </c>
      <c r="J47" s="516">
        <v>408446.13</v>
      </c>
      <c r="K47" s="517">
        <v>452500.38</v>
      </c>
      <c r="L47" s="517">
        <v>303474.55</v>
      </c>
      <c r="M47" s="516">
        <f t="shared" si="10"/>
        <v>239637.85</v>
      </c>
      <c r="N47" s="518">
        <f t="shared" si="10"/>
        <v>233794.82</v>
      </c>
      <c r="O47" s="518">
        <f t="shared" si="10"/>
        <v>168529.53000000003</v>
      </c>
      <c r="P47" s="516">
        <v>125874.38</v>
      </c>
      <c r="Q47" s="517">
        <v>113312.69</v>
      </c>
      <c r="R47" s="517">
        <v>86630.38</v>
      </c>
      <c r="S47" s="516">
        <v>107392.41</v>
      </c>
      <c r="T47" s="517">
        <v>113951.63</v>
      </c>
      <c r="U47" s="517">
        <v>78268.210000000006</v>
      </c>
      <c r="V47" s="516">
        <v>6371.06</v>
      </c>
      <c r="W47" s="517">
        <v>6530.5</v>
      </c>
      <c r="X47" s="517">
        <v>3630.94</v>
      </c>
    </row>
    <row r="48" spans="2:24" s="93" customFormat="1" ht="38.25">
      <c r="B48" s="90" t="s">
        <v>2</v>
      </c>
      <c r="C48" s="91" t="s">
        <v>34</v>
      </c>
      <c r="D48" s="512">
        <f>SUM(D49:D54)</f>
        <v>11639.900000000001</v>
      </c>
      <c r="E48" s="512">
        <f t="shared" ref="E48:L48" si="11">SUM(E49:E54)</f>
        <v>11881.52</v>
      </c>
      <c r="F48" s="512">
        <f t="shared" si="11"/>
        <v>11522.989999999998</v>
      </c>
      <c r="G48" s="512">
        <f t="shared" si="11"/>
        <v>11531.73</v>
      </c>
      <c r="H48" s="512">
        <f t="shared" si="11"/>
        <v>8275</v>
      </c>
      <c r="I48" s="512">
        <f t="shared" si="11"/>
        <v>8168.4</v>
      </c>
      <c r="J48" s="512">
        <f t="shared" si="11"/>
        <v>4645052.1500000004</v>
      </c>
      <c r="K48" s="512">
        <f>SUM(K49:K54)</f>
        <v>5496165.8499999996</v>
      </c>
      <c r="L48" s="512">
        <f t="shared" si="11"/>
        <v>3632231.39</v>
      </c>
      <c r="M48" s="513">
        <f>SUM(M49:M54)</f>
        <v>2596656</v>
      </c>
      <c r="N48" s="512">
        <f t="shared" ref="N48:X48" si="12">SUM(N49:N54)</f>
        <v>2711574.44</v>
      </c>
      <c r="O48" s="512">
        <f t="shared" si="12"/>
        <v>1856661.46</v>
      </c>
      <c r="P48" s="512">
        <f t="shared" si="12"/>
        <v>845769.57000000007</v>
      </c>
      <c r="Q48" s="512">
        <f t="shared" si="12"/>
        <v>858878.18</v>
      </c>
      <c r="R48" s="512">
        <f t="shared" si="12"/>
        <v>593313.44999999995</v>
      </c>
      <c r="S48" s="512">
        <f t="shared" si="12"/>
        <v>1704724.49</v>
      </c>
      <c r="T48" s="512">
        <f t="shared" si="12"/>
        <v>1803625.7400000002</v>
      </c>
      <c r="U48" s="512">
        <f t="shared" si="12"/>
        <v>1233386.3700000001</v>
      </c>
      <c r="V48" s="512">
        <f t="shared" si="12"/>
        <v>46161.939999999995</v>
      </c>
      <c r="W48" s="512">
        <f t="shared" si="12"/>
        <v>49070.52</v>
      </c>
      <c r="X48" s="512">
        <f t="shared" si="12"/>
        <v>29961.64</v>
      </c>
    </row>
    <row r="49" spans="2:24" ht="25.5">
      <c r="B49" s="88" t="s">
        <v>20</v>
      </c>
      <c r="C49" s="89" t="s">
        <v>4</v>
      </c>
      <c r="D49" s="514">
        <v>6004.53</v>
      </c>
      <c r="E49" s="515">
        <v>6100.63</v>
      </c>
      <c r="F49" s="514">
        <v>5963.57</v>
      </c>
      <c r="G49" s="515">
        <v>5960.74</v>
      </c>
      <c r="H49" s="514">
        <v>3695</v>
      </c>
      <c r="I49" s="515">
        <v>3605.2</v>
      </c>
      <c r="J49" s="516">
        <v>1999907.25</v>
      </c>
      <c r="K49" s="517">
        <v>2715000.49</v>
      </c>
      <c r="L49" s="517">
        <v>1710011.35</v>
      </c>
      <c r="M49" s="516">
        <f t="shared" ref="M49:O51" si="13">P49+S49+V49</f>
        <v>1251417.8399999999</v>
      </c>
      <c r="N49" s="518">
        <f t="shared" si="13"/>
        <v>1360015.5</v>
      </c>
      <c r="O49" s="518">
        <f t="shared" si="13"/>
        <v>914441.11</v>
      </c>
      <c r="P49" s="516">
        <v>249792</v>
      </c>
      <c r="Q49" s="517">
        <v>261152.73</v>
      </c>
      <c r="R49" s="517">
        <v>177547.84</v>
      </c>
      <c r="S49" s="516">
        <v>962023.38</v>
      </c>
      <c r="T49" s="517">
        <v>1057201.32</v>
      </c>
      <c r="U49" s="517">
        <v>710528.17</v>
      </c>
      <c r="V49" s="516">
        <v>39602.46</v>
      </c>
      <c r="W49" s="517">
        <v>41661.449999999997</v>
      </c>
      <c r="X49" s="517">
        <v>26365.1</v>
      </c>
    </row>
    <row r="50" spans="2:24" ht="38.25">
      <c r="B50" s="88" t="s">
        <v>21</v>
      </c>
      <c r="C50" s="89" t="s">
        <v>5</v>
      </c>
      <c r="D50" s="514">
        <v>773.81</v>
      </c>
      <c r="E50" s="515">
        <v>778.31</v>
      </c>
      <c r="F50" s="514">
        <v>753.31</v>
      </c>
      <c r="G50" s="515">
        <v>710.79</v>
      </c>
      <c r="H50" s="514">
        <v>531</v>
      </c>
      <c r="I50" s="515">
        <v>511</v>
      </c>
      <c r="J50" s="516">
        <v>251533.27</v>
      </c>
      <c r="K50" s="517">
        <v>250604.55</v>
      </c>
      <c r="L50" s="517">
        <v>177817.06</v>
      </c>
      <c r="M50" s="516">
        <f t="shared" si="13"/>
        <v>161796.17000000001</v>
      </c>
      <c r="N50" s="518">
        <f t="shared" si="13"/>
        <v>141069.34</v>
      </c>
      <c r="O50" s="518">
        <f t="shared" si="13"/>
        <v>110082.08</v>
      </c>
      <c r="P50" s="516">
        <v>159183.76</v>
      </c>
      <c r="Q50" s="517">
        <v>137855.34</v>
      </c>
      <c r="R50" s="517">
        <v>108600.95</v>
      </c>
      <c r="S50" s="516">
        <v>0</v>
      </c>
      <c r="T50" s="517">
        <v>0</v>
      </c>
      <c r="U50" s="517">
        <v>0</v>
      </c>
      <c r="V50" s="516">
        <v>2612.41</v>
      </c>
      <c r="W50" s="517">
        <v>3214</v>
      </c>
      <c r="X50" s="517">
        <v>1481.13</v>
      </c>
    </row>
    <row r="51" spans="2:24" ht="38.25">
      <c r="B51" s="88" t="s">
        <v>22</v>
      </c>
      <c r="C51" s="89" t="s">
        <v>6</v>
      </c>
      <c r="D51" s="514">
        <v>4830.0600000000004</v>
      </c>
      <c r="E51" s="515">
        <v>4964.58</v>
      </c>
      <c r="F51" s="514">
        <v>4778.1099999999997</v>
      </c>
      <c r="G51" s="515">
        <v>4827.2</v>
      </c>
      <c r="H51" s="514">
        <v>4022</v>
      </c>
      <c r="I51" s="515">
        <v>4021.2</v>
      </c>
      <c r="J51" s="516">
        <v>2372863.62</v>
      </c>
      <c r="K51" s="517">
        <v>2505245.8199999998</v>
      </c>
      <c r="L51" s="517">
        <v>1727044.01</v>
      </c>
      <c r="M51" s="516">
        <f t="shared" si="13"/>
        <v>1170030.25</v>
      </c>
      <c r="N51" s="518">
        <f t="shared" si="13"/>
        <v>1197063.47</v>
      </c>
      <c r="O51" s="518">
        <f t="shared" si="13"/>
        <v>823373.94000000006</v>
      </c>
      <c r="P51" s="516">
        <v>423382.07</v>
      </c>
      <c r="Q51" s="517">
        <v>446443.98</v>
      </c>
      <c r="R51" s="517">
        <v>298400.33</v>
      </c>
      <c r="S51" s="516">
        <v>742701.11</v>
      </c>
      <c r="T51" s="517">
        <v>746424.42</v>
      </c>
      <c r="U51" s="517">
        <v>522858.2</v>
      </c>
      <c r="V51" s="516">
        <v>3947.07</v>
      </c>
      <c r="W51" s="517">
        <v>4195.07</v>
      </c>
      <c r="X51" s="517">
        <v>2115.41</v>
      </c>
    </row>
    <row r="52" spans="2:24" ht="63.75">
      <c r="B52" s="88" t="s">
        <v>23</v>
      </c>
      <c r="C52" s="89" t="s">
        <v>7</v>
      </c>
      <c r="D52" s="514"/>
      <c r="E52" s="515"/>
      <c r="F52" s="514"/>
      <c r="G52" s="515"/>
      <c r="H52" s="514"/>
      <c r="I52" s="515"/>
      <c r="J52" s="516"/>
      <c r="K52" s="517"/>
      <c r="L52" s="517"/>
      <c r="M52" s="516">
        <f>P52+S52+V52</f>
        <v>0</v>
      </c>
      <c r="N52" s="518">
        <f t="shared" ref="N52:O54" si="14">Q52+T52+W52</f>
        <v>0</v>
      </c>
      <c r="O52" s="518">
        <f t="shared" si="14"/>
        <v>0</v>
      </c>
      <c r="P52" s="516"/>
      <c r="Q52" s="517"/>
      <c r="R52" s="517"/>
      <c r="S52" s="516"/>
      <c r="T52" s="517"/>
      <c r="U52" s="517"/>
      <c r="V52" s="516"/>
      <c r="W52" s="517"/>
      <c r="X52" s="517"/>
    </row>
    <row r="53" spans="2:24" ht="38.25">
      <c r="B53" s="88" t="s">
        <v>24</v>
      </c>
      <c r="C53" s="89" t="s">
        <v>51</v>
      </c>
      <c r="D53" s="425"/>
      <c r="E53" s="426"/>
      <c r="F53" s="425"/>
      <c r="G53" s="426"/>
      <c r="H53" s="425"/>
      <c r="I53" s="426"/>
      <c r="J53" s="427"/>
      <c r="K53" s="428"/>
      <c r="L53" s="428"/>
      <c r="M53" s="427">
        <f>P53+S53+V53</f>
        <v>0</v>
      </c>
      <c r="N53" s="429">
        <f t="shared" si="14"/>
        <v>0</v>
      </c>
      <c r="O53" s="429">
        <f t="shared" si="14"/>
        <v>0</v>
      </c>
      <c r="P53" s="427"/>
      <c r="Q53" s="428"/>
      <c r="R53" s="428"/>
      <c r="S53" s="427"/>
      <c r="T53" s="428"/>
      <c r="U53" s="428"/>
      <c r="V53" s="427"/>
      <c r="W53" s="428"/>
      <c r="X53" s="428"/>
    </row>
    <row r="54" spans="2:24" s="302" customFormat="1" ht="29.25" customHeight="1">
      <c r="B54" s="634" t="s">
        <v>94</v>
      </c>
      <c r="C54" s="635" t="s">
        <v>95</v>
      </c>
      <c r="D54" s="636">
        <v>31.5</v>
      </c>
      <c r="E54" s="637">
        <v>38</v>
      </c>
      <c r="F54" s="636">
        <v>28</v>
      </c>
      <c r="G54" s="637">
        <v>33</v>
      </c>
      <c r="H54" s="636">
        <v>27</v>
      </c>
      <c r="I54" s="637">
        <v>31</v>
      </c>
      <c r="J54" s="638">
        <v>20748.009999999998</v>
      </c>
      <c r="K54" s="639">
        <v>25314.99</v>
      </c>
      <c r="L54" s="639">
        <v>17358.97</v>
      </c>
      <c r="M54" s="638">
        <f t="shared" ref="M54" si="15">P54+S54+V54</f>
        <v>13411.74</v>
      </c>
      <c r="N54" s="640">
        <f t="shared" si="14"/>
        <v>13426.13</v>
      </c>
      <c r="O54" s="640">
        <f t="shared" si="14"/>
        <v>8764.33</v>
      </c>
      <c r="P54" s="638">
        <v>13411.74</v>
      </c>
      <c r="Q54" s="639">
        <v>13426.13</v>
      </c>
      <c r="R54" s="639">
        <v>8764.33</v>
      </c>
      <c r="S54" s="638">
        <v>0</v>
      </c>
      <c r="T54" s="639">
        <v>0</v>
      </c>
      <c r="U54" s="639">
        <v>0</v>
      </c>
      <c r="V54" s="638">
        <v>0</v>
      </c>
      <c r="W54" s="639">
        <v>0</v>
      </c>
      <c r="X54" s="639">
        <v>0</v>
      </c>
    </row>
    <row r="55" spans="2:24" s="200" customFormat="1" ht="27" thickBot="1">
      <c r="B55" s="470">
        <v>607</v>
      </c>
      <c r="D55" s="201">
        <f>D60-D64</f>
        <v>0</v>
      </c>
      <c r="E55" s="201">
        <f t="shared" ref="E55:W55" si="16">E60-E64</f>
        <v>0</v>
      </c>
      <c r="F55" s="201">
        <f t="shared" si="16"/>
        <v>0</v>
      </c>
      <c r="G55" s="201">
        <f t="shared" si="16"/>
        <v>0</v>
      </c>
      <c r="H55" s="201">
        <f t="shared" si="16"/>
        <v>0</v>
      </c>
      <c r="I55" s="201">
        <f t="shared" si="16"/>
        <v>0</v>
      </c>
      <c r="J55" s="201">
        <f t="shared" si="16"/>
        <v>0</v>
      </c>
      <c r="K55" s="201">
        <f t="shared" si="16"/>
        <v>0</v>
      </c>
      <c r="L55" s="201">
        <f t="shared" si="16"/>
        <v>0</v>
      </c>
      <c r="M55" s="201">
        <f t="shared" si="16"/>
        <v>0</v>
      </c>
      <c r="N55" s="201">
        <f t="shared" si="16"/>
        <v>0</v>
      </c>
      <c r="O55" s="201">
        <f t="shared" si="16"/>
        <v>0</v>
      </c>
      <c r="P55" s="201">
        <f t="shared" si="16"/>
        <v>0</v>
      </c>
      <c r="Q55" s="201">
        <f t="shared" si="16"/>
        <v>0</v>
      </c>
      <c r="R55" s="201">
        <f t="shared" si="16"/>
        <v>0</v>
      </c>
      <c r="S55" s="201">
        <f t="shared" si="16"/>
        <v>0</v>
      </c>
      <c r="T55" s="201">
        <f t="shared" si="16"/>
        <v>0</v>
      </c>
      <c r="U55" s="201">
        <f t="shared" si="16"/>
        <v>0</v>
      </c>
      <c r="V55" s="201">
        <f t="shared" si="16"/>
        <v>0</v>
      </c>
      <c r="W55" s="201">
        <f t="shared" si="16"/>
        <v>0</v>
      </c>
      <c r="X55" s="201">
        <f>X60-X64</f>
        <v>0</v>
      </c>
    </row>
    <row r="56" spans="2:24">
      <c r="B56" s="701"/>
      <c r="C56" s="704" t="s">
        <v>30</v>
      </c>
      <c r="D56" s="707" t="s">
        <v>38</v>
      </c>
      <c r="E56" s="708"/>
      <c r="F56" s="707" t="s">
        <v>39</v>
      </c>
      <c r="G56" s="708"/>
      <c r="H56" s="707" t="s">
        <v>37</v>
      </c>
      <c r="I56" s="708"/>
      <c r="J56" s="707" t="s">
        <v>50</v>
      </c>
      <c r="K56" s="708"/>
      <c r="L56" s="711"/>
      <c r="M56" s="707" t="s">
        <v>36</v>
      </c>
      <c r="N56" s="708"/>
      <c r="O56" s="711"/>
      <c r="P56" s="704" t="s">
        <v>32</v>
      </c>
      <c r="Q56" s="704"/>
      <c r="R56" s="704"/>
      <c r="S56" s="704"/>
      <c r="T56" s="704"/>
      <c r="U56" s="704"/>
      <c r="V56" s="704"/>
      <c r="W56" s="715"/>
      <c r="X56" s="716"/>
    </row>
    <row r="57" spans="2:24">
      <c r="B57" s="702"/>
      <c r="C57" s="705"/>
      <c r="D57" s="709"/>
      <c r="E57" s="710"/>
      <c r="F57" s="709"/>
      <c r="G57" s="710"/>
      <c r="H57" s="709"/>
      <c r="I57" s="710"/>
      <c r="J57" s="712"/>
      <c r="K57" s="713"/>
      <c r="L57" s="714"/>
      <c r="M57" s="712"/>
      <c r="N57" s="713"/>
      <c r="O57" s="714"/>
      <c r="P57" s="705" t="s">
        <v>53</v>
      </c>
      <c r="Q57" s="705"/>
      <c r="R57" s="705"/>
      <c r="S57" s="705" t="s">
        <v>54</v>
      </c>
      <c r="T57" s="705"/>
      <c r="U57" s="705"/>
      <c r="V57" s="705" t="s">
        <v>33</v>
      </c>
      <c r="W57" s="705"/>
      <c r="X57" s="717"/>
    </row>
    <row r="58" spans="2:24" ht="51.75" thickBot="1">
      <c r="B58" s="703"/>
      <c r="C58" s="706"/>
      <c r="D58" s="99" t="s">
        <v>47</v>
      </c>
      <c r="E58" s="99" t="s">
        <v>14</v>
      </c>
      <c r="F58" s="99" t="s">
        <v>47</v>
      </c>
      <c r="G58" s="99" t="s">
        <v>14</v>
      </c>
      <c r="H58" s="99" t="s">
        <v>47</v>
      </c>
      <c r="I58" s="99" t="s">
        <v>14</v>
      </c>
      <c r="J58" s="99" t="s">
        <v>48</v>
      </c>
      <c r="K58" s="99" t="s">
        <v>19</v>
      </c>
      <c r="L58" s="99" t="s">
        <v>31</v>
      </c>
      <c r="M58" s="99" t="s">
        <v>48</v>
      </c>
      <c r="N58" s="99" t="s">
        <v>19</v>
      </c>
      <c r="O58" s="99" t="s">
        <v>31</v>
      </c>
      <c r="P58" s="99" t="s">
        <v>48</v>
      </c>
      <c r="Q58" s="99" t="s">
        <v>19</v>
      </c>
      <c r="R58" s="99" t="s">
        <v>31</v>
      </c>
      <c r="S58" s="99" t="s">
        <v>48</v>
      </c>
      <c r="T58" s="99" t="s">
        <v>19</v>
      </c>
      <c r="U58" s="99" t="s">
        <v>31</v>
      </c>
      <c r="V58" s="99" t="s">
        <v>48</v>
      </c>
      <c r="W58" s="99" t="s">
        <v>19</v>
      </c>
      <c r="X58" s="68" t="s">
        <v>31</v>
      </c>
    </row>
    <row r="59" spans="2:24" ht="13.5" thickBot="1">
      <c r="B59" s="85">
        <v>1</v>
      </c>
      <c r="C59" s="70">
        <v>2</v>
      </c>
      <c r="D59" s="70">
        <v>3</v>
      </c>
      <c r="E59" s="70">
        <v>4</v>
      </c>
      <c r="F59" s="70">
        <v>5</v>
      </c>
      <c r="G59" s="70">
        <v>6</v>
      </c>
      <c r="H59" s="70">
        <v>7</v>
      </c>
      <c r="I59" s="70">
        <v>8</v>
      </c>
      <c r="J59" s="70">
        <v>9</v>
      </c>
      <c r="K59" s="70">
        <v>10</v>
      </c>
      <c r="L59" s="70">
        <v>11</v>
      </c>
      <c r="M59" s="70">
        <v>12</v>
      </c>
      <c r="N59" s="70">
        <v>13</v>
      </c>
      <c r="O59" s="70">
        <v>14</v>
      </c>
      <c r="P59" s="70">
        <v>15</v>
      </c>
      <c r="Q59" s="70">
        <v>16</v>
      </c>
      <c r="R59" s="70">
        <v>17</v>
      </c>
      <c r="S59" s="70">
        <v>18</v>
      </c>
      <c r="T59" s="70">
        <v>19</v>
      </c>
      <c r="U59" s="70">
        <v>20</v>
      </c>
      <c r="V59" s="70">
        <v>21</v>
      </c>
      <c r="W59" s="70">
        <v>22</v>
      </c>
      <c r="X59" s="72">
        <v>23</v>
      </c>
    </row>
    <row r="60" spans="2:24" s="102" customFormat="1" ht="39" thickBot="1">
      <c r="B60" s="86" t="s">
        <v>1</v>
      </c>
      <c r="C60" s="87" t="s">
        <v>3</v>
      </c>
      <c r="D60" s="569">
        <f t="shared" ref="D60:I60" si="17">SUM(D61:D63)</f>
        <v>643.07000000000005</v>
      </c>
      <c r="E60" s="569">
        <f t="shared" si="17"/>
        <v>695.36</v>
      </c>
      <c r="F60" s="569">
        <f t="shared" si="17"/>
        <v>643.07000000000005</v>
      </c>
      <c r="G60" s="569">
        <f t="shared" si="17"/>
        <v>695.36</v>
      </c>
      <c r="H60" s="569">
        <f t="shared" si="17"/>
        <v>395.8</v>
      </c>
      <c r="I60" s="569">
        <f t="shared" si="17"/>
        <v>379.79999999999995</v>
      </c>
      <c r="J60" s="569">
        <f>SUM(J61:J63)</f>
        <v>188737.97999999998</v>
      </c>
      <c r="K60" s="569">
        <f>SUM(K61:K63)</f>
        <v>199332.43</v>
      </c>
      <c r="L60" s="570">
        <f>SUM(L61:L63)</f>
        <v>130211.27</v>
      </c>
      <c r="M60" s="571">
        <f t="shared" ref="M60:O61" si="18">P60+S60+V60</f>
        <v>122105.26</v>
      </c>
      <c r="N60" s="569">
        <f t="shared" si="18"/>
        <v>123168.43</v>
      </c>
      <c r="O60" s="572">
        <f t="shared" si="18"/>
        <v>83667.069999999992</v>
      </c>
      <c r="P60" s="573">
        <f t="shared" ref="P60:X60" si="19">SUM(P61:P63)</f>
        <v>106173.31999999999</v>
      </c>
      <c r="Q60" s="569">
        <f t="shared" si="19"/>
        <v>105201.42</v>
      </c>
      <c r="R60" s="569">
        <f t="shared" si="19"/>
        <v>70355.929999999993</v>
      </c>
      <c r="S60" s="569">
        <f t="shared" si="19"/>
        <v>0</v>
      </c>
      <c r="T60" s="569">
        <f t="shared" si="19"/>
        <v>0</v>
      </c>
      <c r="U60" s="569">
        <f t="shared" si="19"/>
        <v>0</v>
      </c>
      <c r="V60" s="569">
        <f t="shared" si="19"/>
        <v>15931.94</v>
      </c>
      <c r="W60" s="569">
        <f t="shared" si="19"/>
        <v>17967.009999999998</v>
      </c>
      <c r="X60" s="570">
        <f t="shared" si="19"/>
        <v>13311.14</v>
      </c>
    </row>
    <row r="61" spans="2:24" ht="26.25">
      <c r="B61" s="88" t="s">
        <v>20</v>
      </c>
      <c r="C61" s="89" t="s">
        <v>16</v>
      </c>
      <c r="D61" s="574">
        <v>0</v>
      </c>
      <c r="E61" s="575">
        <v>0</v>
      </c>
      <c r="F61" s="575">
        <v>0</v>
      </c>
      <c r="G61" s="575">
        <v>0</v>
      </c>
      <c r="H61" s="575">
        <v>0</v>
      </c>
      <c r="I61" s="575">
        <v>0</v>
      </c>
      <c r="J61" s="575">
        <v>0</v>
      </c>
      <c r="K61" s="575">
        <v>0</v>
      </c>
      <c r="L61" s="575">
        <v>0</v>
      </c>
      <c r="M61" s="576">
        <f t="shared" si="18"/>
        <v>0</v>
      </c>
      <c r="N61" s="576">
        <f t="shared" si="18"/>
        <v>0</v>
      </c>
      <c r="O61" s="576">
        <f t="shared" si="18"/>
        <v>0</v>
      </c>
      <c r="P61" s="575">
        <v>0</v>
      </c>
      <c r="Q61" s="575">
        <v>0</v>
      </c>
      <c r="R61" s="575">
        <v>0</v>
      </c>
      <c r="S61" s="575">
        <v>0</v>
      </c>
      <c r="T61" s="575">
        <v>0</v>
      </c>
      <c r="U61" s="575">
        <v>0</v>
      </c>
      <c r="V61" s="575">
        <v>0</v>
      </c>
      <c r="W61" s="575">
        <v>0</v>
      </c>
      <c r="X61" s="577">
        <v>0</v>
      </c>
    </row>
    <row r="62" spans="2:24" ht="26.25">
      <c r="B62" s="88" t="s">
        <v>21</v>
      </c>
      <c r="C62" s="89" t="s">
        <v>17</v>
      </c>
      <c r="D62" s="578">
        <f t="shared" ref="D62:J62" si="20">D64-D63</f>
        <v>571.28000000000009</v>
      </c>
      <c r="E62" s="579">
        <f t="shared" si="20"/>
        <v>610.57000000000005</v>
      </c>
      <c r="F62" s="579">
        <f t="shared" si="20"/>
        <v>571.28000000000009</v>
      </c>
      <c r="G62" s="579">
        <f t="shared" si="20"/>
        <v>610.57000000000005</v>
      </c>
      <c r="H62" s="579">
        <f t="shared" si="20"/>
        <v>351.8</v>
      </c>
      <c r="I62" s="579">
        <f t="shared" si="20"/>
        <v>338.29999999999995</v>
      </c>
      <c r="J62" s="579">
        <f t="shared" si="20"/>
        <v>170248.03999999998</v>
      </c>
      <c r="K62" s="579">
        <f>K64-K63</f>
        <v>179524.03999999998</v>
      </c>
      <c r="L62" s="579">
        <f t="shared" ref="L62" si="21">L64-L63</f>
        <v>116635.35</v>
      </c>
      <c r="M62" s="579">
        <f>P62+S62+V62</f>
        <v>110223.37</v>
      </c>
      <c r="N62" s="579">
        <f>N64-N63</f>
        <v>110964.95</v>
      </c>
      <c r="O62" s="579">
        <f>R62+U62+X62</f>
        <v>75020.429999999993</v>
      </c>
      <c r="P62" s="579">
        <f>P64-P63</f>
        <v>95241.43</v>
      </c>
      <c r="Q62" s="579">
        <f>Q64-Q63</f>
        <v>94247.94</v>
      </c>
      <c r="R62" s="579">
        <f>R64-R63</f>
        <v>62842.849999999991</v>
      </c>
      <c r="S62" s="579">
        <v>0</v>
      </c>
      <c r="T62" s="579">
        <f>T64-T63</f>
        <v>0</v>
      </c>
      <c r="U62" s="579">
        <f>U64-U63</f>
        <v>0</v>
      </c>
      <c r="V62" s="579">
        <f>V64-V63</f>
        <v>14981.94</v>
      </c>
      <c r="W62" s="579">
        <f>W64-W63</f>
        <v>16717.009999999998</v>
      </c>
      <c r="X62" s="580">
        <f>X64-X63</f>
        <v>12177.58</v>
      </c>
    </row>
    <row r="63" spans="2:24" ht="27" thickBot="1">
      <c r="B63" s="88" t="s">
        <v>22</v>
      </c>
      <c r="C63" s="89" t="s">
        <v>18</v>
      </c>
      <c r="D63" s="581">
        <v>71.790000000000006</v>
      </c>
      <c r="E63" s="582">
        <v>84.79</v>
      </c>
      <c r="F63" s="582">
        <v>71.790000000000006</v>
      </c>
      <c r="G63" s="582">
        <v>84.79</v>
      </c>
      <c r="H63" s="582">
        <v>44</v>
      </c>
      <c r="I63" s="582">
        <v>41.5</v>
      </c>
      <c r="J63" s="582">
        <v>18489.939999999999</v>
      </c>
      <c r="K63" s="582">
        <v>19808.39</v>
      </c>
      <c r="L63" s="582">
        <v>13575.92</v>
      </c>
      <c r="M63" s="582">
        <f>P63+S63+V63</f>
        <v>11881.89</v>
      </c>
      <c r="N63" s="582">
        <f>Q63+T63+W63</f>
        <v>12203.48</v>
      </c>
      <c r="O63" s="582">
        <f>R63+U63+X63</f>
        <v>8646.64</v>
      </c>
      <c r="P63" s="582">
        <v>10931.89</v>
      </c>
      <c r="Q63" s="582">
        <v>10953.48</v>
      </c>
      <c r="R63" s="582">
        <v>7513.08</v>
      </c>
      <c r="S63" s="582">
        <v>0</v>
      </c>
      <c r="T63" s="583">
        <v>0</v>
      </c>
      <c r="U63" s="583">
        <v>0</v>
      </c>
      <c r="V63" s="582">
        <v>950</v>
      </c>
      <c r="W63" s="582">
        <v>1250</v>
      </c>
      <c r="X63" s="584">
        <v>1133.56</v>
      </c>
    </row>
    <row r="64" spans="2:24" s="102" customFormat="1" ht="39" thickBot="1">
      <c r="B64" s="101" t="s">
        <v>2</v>
      </c>
      <c r="C64" s="89" t="s">
        <v>34</v>
      </c>
      <c r="D64" s="585">
        <f>SUM(D65:D69)</f>
        <v>643.07000000000005</v>
      </c>
      <c r="E64" s="586">
        <f t="shared" ref="E64:I64" si="22">SUM(E65:E69)</f>
        <v>695.36</v>
      </c>
      <c r="F64" s="586">
        <f t="shared" si="22"/>
        <v>643.07000000000005</v>
      </c>
      <c r="G64" s="586">
        <f t="shared" si="22"/>
        <v>695.36</v>
      </c>
      <c r="H64" s="586">
        <f t="shared" si="22"/>
        <v>395.8</v>
      </c>
      <c r="I64" s="586">
        <f t="shared" si="22"/>
        <v>379.79999999999995</v>
      </c>
      <c r="J64" s="586">
        <f>SUM(J65:J69)</f>
        <v>188737.97999999998</v>
      </c>
      <c r="K64" s="586">
        <f>K65+K66+K67+K68+K69</f>
        <v>199332.43</v>
      </c>
      <c r="L64" s="586">
        <f>L65+L66+L67+L68+L69</f>
        <v>130211.27</v>
      </c>
      <c r="M64" s="586">
        <f t="shared" ref="M64:X64" si="23">M65+M66+M67+M68+M69</f>
        <v>122105.26</v>
      </c>
      <c r="N64" s="586">
        <f>N65+N66+N67+N68+N69</f>
        <v>123168.43</v>
      </c>
      <c r="O64" s="586">
        <f>O65+O66+O67+O68+O69</f>
        <v>83667.069999999992</v>
      </c>
      <c r="P64" s="586">
        <f t="shared" si="23"/>
        <v>106173.31999999999</v>
      </c>
      <c r="Q64" s="586">
        <f>Q65+Q66+Q67+Q68+Q69</f>
        <v>105201.42</v>
      </c>
      <c r="R64" s="586">
        <f>R65+R66+R67+R68+R69</f>
        <v>70355.929999999993</v>
      </c>
      <c r="S64" s="586">
        <f t="shared" si="23"/>
        <v>0</v>
      </c>
      <c r="T64" s="586">
        <f>T65+T66+T67+T68+T69</f>
        <v>0</v>
      </c>
      <c r="U64" s="586">
        <f t="shared" si="23"/>
        <v>0</v>
      </c>
      <c r="V64" s="586">
        <f t="shared" si="23"/>
        <v>15931.94</v>
      </c>
      <c r="W64" s="586">
        <f t="shared" si="23"/>
        <v>17967.009999999998</v>
      </c>
      <c r="X64" s="587">
        <f t="shared" si="23"/>
        <v>13311.14</v>
      </c>
    </row>
    <row r="65" spans="2:24" ht="26.25">
      <c r="B65" s="88" t="s">
        <v>20</v>
      </c>
      <c r="C65" s="89" t="s">
        <v>4</v>
      </c>
      <c r="D65" s="574">
        <v>0</v>
      </c>
      <c r="E65" s="575">
        <v>0</v>
      </c>
      <c r="F65" s="575">
        <v>0</v>
      </c>
      <c r="G65" s="575">
        <v>0</v>
      </c>
      <c r="H65" s="575">
        <v>0</v>
      </c>
      <c r="I65" s="575">
        <v>0</v>
      </c>
      <c r="J65" s="575">
        <v>0</v>
      </c>
      <c r="K65" s="575">
        <v>0</v>
      </c>
      <c r="L65" s="588">
        <v>0</v>
      </c>
      <c r="M65" s="575">
        <f>P65+S65+V65</f>
        <v>0</v>
      </c>
      <c r="N65" s="576">
        <f t="shared" ref="N65:O68" si="24">Q65+T65+W65</f>
        <v>0</v>
      </c>
      <c r="O65" s="576">
        <f t="shared" si="24"/>
        <v>0</v>
      </c>
      <c r="P65" s="575">
        <v>0</v>
      </c>
      <c r="Q65" s="575">
        <v>0</v>
      </c>
      <c r="R65" s="575">
        <v>0</v>
      </c>
      <c r="S65" s="575">
        <v>0</v>
      </c>
      <c r="T65" s="575">
        <v>0</v>
      </c>
      <c r="U65" s="575">
        <v>0</v>
      </c>
      <c r="V65" s="575">
        <v>0</v>
      </c>
      <c r="W65" s="575">
        <v>0</v>
      </c>
      <c r="X65" s="577">
        <v>0</v>
      </c>
    </row>
    <row r="66" spans="2:24" ht="38.25">
      <c r="B66" s="88" t="s">
        <v>21</v>
      </c>
      <c r="C66" s="89" t="s">
        <v>5</v>
      </c>
      <c r="D66" s="578">
        <v>633.07000000000005</v>
      </c>
      <c r="E66" s="579">
        <v>683.36</v>
      </c>
      <c r="F66" s="579">
        <v>633.07000000000005</v>
      </c>
      <c r="G66" s="579">
        <v>683.36</v>
      </c>
      <c r="H66" s="579">
        <v>385.8</v>
      </c>
      <c r="I66" s="579">
        <v>368.9</v>
      </c>
      <c r="J66" s="579">
        <v>183806.9</v>
      </c>
      <c r="K66" s="579">
        <v>190687.84</v>
      </c>
      <c r="L66" s="579">
        <v>125211.1</v>
      </c>
      <c r="M66" s="579">
        <f>P66+S66+V66</f>
        <v>118783.11</v>
      </c>
      <c r="N66" s="579">
        <f>Q66+T66+W66</f>
        <v>119846.28</v>
      </c>
      <c r="O66" s="579">
        <f>R66+U66+X66</f>
        <v>81507.56</v>
      </c>
      <c r="P66" s="579">
        <v>102851.17</v>
      </c>
      <c r="Q66" s="579">
        <v>101879.27</v>
      </c>
      <c r="R66" s="579">
        <f>68096.7+99.72</f>
        <v>68196.42</v>
      </c>
      <c r="S66" s="579">
        <f>S60</f>
        <v>0</v>
      </c>
      <c r="T66" s="579">
        <v>0</v>
      </c>
      <c r="U66" s="579">
        <v>0</v>
      </c>
      <c r="V66" s="579">
        <v>15931.94</v>
      </c>
      <c r="W66" s="579">
        <v>17967.009999999998</v>
      </c>
      <c r="X66" s="580">
        <v>13311.14</v>
      </c>
    </row>
    <row r="67" spans="2:24" ht="38.25">
      <c r="B67" s="88" t="s">
        <v>22</v>
      </c>
      <c r="C67" s="89" t="s">
        <v>6</v>
      </c>
      <c r="D67" s="578">
        <v>0</v>
      </c>
      <c r="E67" s="579">
        <v>0</v>
      </c>
      <c r="F67" s="579">
        <v>0</v>
      </c>
      <c r="G67" s="579">
        <v>0</v>
      </c>
      <c r="H67" s="579">
        <v>0</v>
      </c>
      <c r="I67" s="579">
        <v>0</v>
      </c>
      <c r="J67" s="579">
        <v>0</v>
      </c>
      <c r="K67" s="579">
        <v>0</v>
      </c>
      <c r="L67" s="579">
        <v>0</v>
      </c>
      <c r="M67" s="579">
        <f>P67+S67+V67</f>
        <v>0</v>
      </c>
      <c r="N67" s="579">
        <f>Q67+T67+W67</f>
        <v>0</v>
      </c>
      <c r="O67" s="589">
        <f t="shared" si="24"/>
        <v>0</v>
      </c>
      <c r="P67" s="579">
        <v>0</v>
      </c>
      <c r="Q67" s="579">
        <v>0</v>
      </c>
      <c r="R67" s="579">
        <v>0</v>
      </c>
      <c r="S67" s="579">
        <v>0</v>
      </c>
      <c r="T67" s="579">
        <v>0</v>
      </c>
      <c r="U67" s="579">
        <v>0</v>
      </c>
      <c r="V67" s="579">
        <v>0</v>
      </c>
      <c r="W67" s="579">
        <v>0</v>
      </c>
      <c r="X67" s="590">
        <v>0</v>
      </c>
    </row>
    <row r="68" spans="2:24" ht="64.5" thickBot="1">
      <c r="B68" s="88" t="s">
        <v>23</v>
      </c>
      <c r="C68" s="89" t="s">
        <v>7</v>
      </c>
      <c r="D68" s="581">
        <v>0</v>
      </c>
      <c r="E68" s="582">
        <v>0</v>
      </c>
      <c r="F68" s="582">
        <v>0</v>
      </c>
      <c r="G68" s="582">
        <v>0</v>
      </c>
      <c r="H68" s="582">
        <v>0</v>
      </c>
      <c r="I68" s="582">
        <v>0</v>
      </c>
      <c r="J68" s="582">
        <v>0</v>
      </c>
      <c r="K68" s="582">
        <v>0</v>
      </c>
      <c r="L68" s="582">
        <v>0</v>
      </c>
      <c r="M68" s="582">
        <f>P68+S68+V68</f>
        <v>0</v>
      </c>
      <c r="N68" s="582">
        <f>Q68+T68+W68</f>
        <v>0</v>
      </c>
      <c r="O68" s="591">
        <f t="shared" si="24"/>
        <v>0</v>
      </c>
      <c r="P68" s="582">
        <v>0</v>
      </c>
      <c r="Q68" s="582">
        <v>0</v>
      </c>
      <c r="R68" s="582">
        <v>0</v>
      </c>
      <c r="S68" s="582">
        <v>0</v>
      </c>
      <c r="T68" s="582">
        <v>0</v>
      </c>
      <c r="U68" s="582">
        <v>0</v>
      </c>
      <c r="V68" s="582">
        <v>0</v>
      </c>
      <c r="W68" s="582">
        <v>0</v>
      </c>
      <c r="X68" s="584">
        <v>0</v>
      </c>
    </row>
    <row r="69" spans="2:24" ht="39" thickBot="1">
      <c r="B69" s="88" t="s">
        <v>24</v>
      </c>
      <c r="C69" s="89" t="s">
        <v>51</v>
      </c>
      <c r="D69" s="592">
        <v>10</v>
      </c>
      <c r="E69" s="593">
        <v>12</v>
      </c>
      <c r="F69" s="593">
        <v>10</v>
      </c>
      <c r="G69" s="593">
        <v>12</v>
      </c>
      <c r="H69" s="593">
        <v>10</v>
      </c>
      <c r="I69" s="593">
        <v>10.9</v>
      </c>
      <c r="J69" s="593">
        <v>4931.08</v>
      </c>
      <c r="K69" s="593">
        <v>8644.59</v>
      </c>
      <c r="L69" s="593">
        <v>5000.17</v>
      </c>
      <c r="M69" s="593">
        <f>P69+S69+V69</f>
        <v>3322.15</v>
      </c>
      <c r="N69" s="593">
        <f>Q69+T69+W69</f>
        <v>3322.15</v>
      </c>
      <c r="O69" s="593">
        <f>R69+X69+U69</f>
        <v>2159.5100000000002</v>
      </c>
      <c r="P69" s="593">
        <v>3322.15</v>
      </c>
      <c r="Q69" s="593">
        <v>3322.15</v>
      </c>
      <c r="R69" s="593">
        <v>2159.5100000000002</v>
      </c>
      <c r="S69" s="593">
        <v>0</v>
      </c>
      <c r="T69" s="594">
        <v>0</v>
      </c>
      <c r="U69" s="593">
        <v>0</v>
      </c>
      <c r="V69" s="593">
        <v>0</v>
      </c>
      <c r="W69" s="593">
        <v>0</v>
      </c>
      <c r="X69" s="595">
        <v>0</v>
      </c>
    </row>
    <row r="70" spans="2:24" ht="27" thickBot="1">
      <c r="B70" s="470">
        <v>611</v>
      </c>
    </row>
    <row r="71" spans="2:24">
      <c r="B71" s="701"/>
      <c r="C71" s="704" t="s">
        <v>30</v>
      </c>
      <c r="D71" s="707" t="s">
        <v>38</v>
      </c>
      <c r="E71" s="708"/>
      <c r="F71" s="707" t="s">
        <v>39</v>
      </c>
      <c r="G71" s="708"/>
      <c r="H71" s="707" t="s">
        <v>37</v>
      </c>
      <c r="I71" s="708"/>
      <c r="J71" s="707" t="s">
        <v>50</v>
      </c>
      <c r="K71" s="708"/>
      <c r="L71" s="711"/>
      <c r="M71" s="707" t="s">
        <v>36</v>
      </c>
      <c r="N71" s="708"/>
      <c r="O71" s="711"/>
      <c r="P71" s="704" t="s">
        <v>32</v>
      </c>
      <c r="Q71" s="704"/>
      <c r="R71" s="704"/>
      <c r="S71" s="704"/>
      <c r="T71" s="704"/>
      <c r="U71" s="704"/>
      <c r="V71" s="704"/>
      <c r="W71" s="715"/>
      <c r="X71" s="716"/>
    </row>
    <row r="72" spans="2:24">
      <c r="B72" s="702"/>
      <c r="C72" s="705"/>
      <c r="D72" s="709"/>
      <c r="E72" s="710"/>
      <c r="F72" s="709"/>
      <c r="G72" s="710"/>
      <c r="H72" s="709"/>
      <c r="I72" s="710"/>
      <c r="J72" s="712"/>
      <c r="K72" s="713"/>
      <c r="L72" s="714"/>
      <c r="M72" s="712"/>
      <c r="N72" s="713"/>
      <c r="O72" s="714"/>
      <c r="P72" s="705" t="s">
        <v>53</v>
      </c>
      <c r="Q72" s="705"/>
      <c r="R72" s="705"/>
      <c r="S72" s="705" t="s">
        <v>54</v>
      </c>
      <c r="T72" s="705"/>
      <c r="U72" s="705"/>
      <c r="V72" s="705" t="s">
        <v>33</v>
      </c>
      <c r="W72" s="705"/>
      <c r="X72" s="717"/>
    </row>
    <row r="73" spans="2:24" ht="51.75" thickBot="1">
      <c r="B73" s="703"/>
      <c r="C73" s="706"/>
      <c r="D73" s="67" t="s">
        <v>47</v>
      </c>
      <c r="E73" s="67" t="s">
        <v>14</v>
      </c>
      <c r="F73" s="67" t="s">
        <v>47</v>
      </c>
      <c r="G73" s="67" t="s">
        <v>14</v>
      </c>
      <c r="H73" s="67" t="s">
        <v>47</v>
      </c>
      <c r="I73" s="67" t="s">
        <v>14</v>
      </c>
      <c r="J73" s="67" t="s">
        <v>48</v>
      </c>
      <c r="K73" s="67" t="s">
        <v>19</v>
      </c>
      <c r="L73" s="67" t="s">
        <v>31</v>
      </c>
      <c r="M73" s="67" t="s">
        <v>48</v>
      </c>
      <c r="N73" s="67" t="s">
        <v>19</v>
      </c>
      <c r="O73" s="67" t="s">
        <v>31</v>
      </c>
      <c r="P73" s="67" t="s">
        <v>48</v>
      </c>
      <c r="Q73" s="67" t="s">
        <v>19</v>
      </c>
      <c r="R73" s="67" t="s">
        <v>31</v>
      </c>
      <c r="S73" s="67" t="s">
        <v>48</v>
      </c>
      <c r="T73" s="67" t="s">
        <v>19</v>
      </c>
      <c r="U73" s="67" t="s">
        <v>31</v>
      </c>
      <c r="V73" s="67" t="s">
        <v>48</v>
      </c>
      <c r="W73" s="67" t="s">
        <v>19</v>
      </c>
      <c r="X73" s="68" t="s">
        <v>31</v>
      </c>
    </row>
    <row r="74" spans="2:24" ht="13.5" thickBot="1">
      <c r="B74" s="85">
        <v>1</v>
      </c>
      <c r="C74" s="70">
        <v>2</v>
      </c>
      <c r="D74" s="70">
        <v>3</v>
      </c>
      <c r="E74" s="70">
        <v>4</v>
      </c>
      <c r="F74" s="70">
        <v>5</v>
      </c>
      <c r="G74" s="70">
        <v>6</v>
      </c>
      <c r="H74" s="70">
        <v>7</v>
      </c>
      <c r="I74" s="70">
        <v>8</v>
      </c>
      <c r="J74" s="70">
        <v>9</v>
      </c>
      <c r="K74" s="70">
        <v>10</v>
      </c>
      <c r="L74" s="70">
        <v>11</v>
      </c>
      <c r="M74" s="70">
        <v>12</v>
      </c>
      <c r="N74" s="70">
        <v>13</v>
      </c>
      <c r="O74" s="70">
        <v>14</v>
      </c>
      <c r="P74" s="70">
        <v>15</v>
      </c>
      <c r="Q74" s="70">
        <v>16</v>
      </c>
      <c r="R74" s="70">
        <v>17</v>
      </c>
      <c r="S74" s="70">
        <v>18</v>
      </c>
      <c r="T74" s="70">
        <v>19</v>
      </c>
      <c r="U74" s="70">
        <v>20</v>
      </c>
      <c r="V74" s="70">
        <v>21</v>
      </c>
      <c r="W74" s="70">
        <v>22</v>
      </c>
      <c r="X74" s="72">
        <v>23</v>
      </c>
    </row>
    <row r="75" spans="2:24" ht="47.25">
      <c r="B75" s="390" t="s">
        <v>1</v>
      </c>
      <c r="C75" s="392" t="s">
        <v>3</v>
      </c>
      <c r="D75" s="395">
        <f t="shared" ref="D75:X75" si="25">D77</f>
        <v>43</v>
      </c>
      <c r="E75" s="395">
        <f t="shared" si="25"/>
        <v>43</v>
      </c>
      <c r="F75" s="395">
        <f t="shared" si="25"/>
        <v>43</v>
      </c>
      <c r="G75" s="395">
        <f t="shared" si="25"/>
        <v>43</v>
      </c>
      <c r="H75" s="395">
        <f t="shared" si="25"/>
        <v>38.53</v>
      </c>
      <c r="I75" s="395">
        <f t="shared" si="25"/>
        <v>28.03</v>
      </c>
      <c r="J75" s="396">
        <f t="shared" si="25"/>
        <v>13341.41</v>
      </c>
      <c r="K75" s="396">
        <f t="shared" si="25"/>
        <v>19781.78</v>
      </c>
      <c r="L75" s="396">
        <f t="shared" si="25"/>
        <v>9961.11</v>
      </c>
      <c r="M75" s="396">
        <f t="shared" si="25"/>
        <v>7584.2</v>
      </c>
      <c r="N75" s="396">
        <f t="shared" si="25"/>
        <v>7689.8</v>
      </c>
      <c r="O75" s="396">
        <f t="shared" si="25"/>
        <v>5387.73</v>
      </c>
      <c r="P75" s="396">
        <f t="shared" si="25"/>
        <v>7584.2</v>
      </c>
      <c r="Q75" s="396">
        <f t="shared" si="25"/>
        <v>7689.8</v>
      </c>
      <c r="R75" s="396">
        <f t="shared" si="25"/>
        <v>5387.73</v>
      </c>
      <c r="S75" s="396">
        <f t="shared" si="25"/>
        <v>0</v>
      </c>
      <c r="T75" s="396">
        <f t="shared" si="25"/>
        <v>0</v>
      </c>
      <c r="U75" s="396">
        <f t="shared" si="25"/>
        <v>0</v>
      </c>
      <c r="V75" s="396">
        <f t="shared" si="25"/>
        <v>0</v>
      </c>
      <c r="W75" s="396">
        <f t="shared" si="25"/>
        <v>0</v>
      </c>
      <c r="X75" s="396">
        <f t="shared" si="25"/>
        <v>0</v>
      </c>
    </row>
    <row r="76" spans="2:24" ht="31.5">
      <c r="B76" s="391" t="s">
        <v>20</v>
      </c>
      <c r="C76" s="393" t="s">
        <v>16</v>
      </c>
      <c r="D76" s="397"/>
      <c r="E76" s="397"/>
      <c r="F76" s="397"/>
      <c r="G76" s="397"/>
      <c r="H76" s="397"/>
      <c r="I76" s="397"/>
      <c r="J76" s="398"/>
      <c r="K76" s="398"/>
      <c r="L76" s="398"/>
      <c r="M76" s="398">
        <f t="shared" ref="M76:O78" si="26">P76+S76+V76</f>
        <v>0</v>
      </c>
      <c r="N76" s="398">
        <f t="shared" si="26"/>
        <v>0</v>
      </c>
      <c r="O76" s="398">
        <f t="shared" si="26"/>
        <v>0</v>
      </c>
      <c r="P76" s="398"/>
      <c r="Q76" s="398"/>
      <c r="R76" s="398"/>
      <c r="S76" s="398"/>
      <c r="T76" s="398"/>
      <c r="U76" s="398"/>
      <c r="V76" s="398"/>
      <c r="W76" s="399"/>
      <c r="X76" s="561"/>
    </row>
    <row r="77" spans="2:24" ht="31.5">
      <c r="B77" s="391" t="s">
        <v>21</v>
      </c>
      <c r="C77" s="393" t="s">
        <v>17</v>
      </c>
      <c r="D77" s="397">
        <v>43</v>
      </c>
      <c r="E77" s="397">
        <v>43</v>
      </c>
      <c r="F77" s="397">
        <v>43</v>
      </c>
      <c r="G77" s="397">
        <v>43</v>
      </c>
      <c r="H77" s="397">
        <v>38.53</v>
      </c>
      <c r="I77" s="397">
        <v>28.03</v>
      </c>
      <c r="J77" s="398">
        <f t="shared" ref="J77:Q77" si="27">J79</f>
        <v>13341.41</v>
      </c>
      <c r="K77" s="398">
        <f t="shared" si="27"/>
        <v>19781.78</v>
      </c>
      <c r="L77" s="398">
        <f t="shared" si="27"/>
        <v>9961.11</v>
      </c>
      <c r="M77" s="398">
        <f t="shared" si="27"/>
        <v>7584.2</v>
      </c>
      <c r="N77" s="398">
        <f t="shared" si="27"/>
        <v>7689.8</v>
      </c>
      <c r="O77" s="398">
        <f t="shared" si="27"/>
        <v>5387.73</v>
      </c>
      <c r="P77" s="398">
        <f t="shared" si="27"/>
        <v>7584.2</v>
      </c>
      <c r="Q77" s="398">
        <f t="shared" si="27"/>
        <v>7689.8</v>
      </c>
      <c r="R77" s="398">
        <f>R79</f>
        <v>5387.73</v>
      </c>
      <c r="S77" s="398">
        <f t="shared" ref="S77:X77" si="28">S79</f>
        <v>0</v>
      </c>
      <c r="T77" s="398">
        <f t="shared" si="28"/>
        <v>0</v>
      </c>
      <c r="U77" s="398">
        <f t="shared" si="28"/>
        <v>0</v>
      </c>
      <c r="V77" s="398">
        <f t="shared" si="28"/>
        <v>0</v>
      </c>
      <c r="W77" s="398">
        <f>W79</f>
        <v>0</v>
      </c>
      <c r="X77" s="398">
        <f t="shared" si="28"/>
        <v>0</v>
      </c>
    </row>
    <row r="78" spans="2:24" ht="31.5">
      <c r="B78" s="391" t="s">
        <v>22</v>
      </c>
      <c r="C78" s="393" t="s">
        <v>18</v>
      </c>
      <c r="D78" s="397"/>
      <c r="E78" s="397"/>
      <c r="F78" s="397"/>
      <c r="G78" s="397"/>
      <c r="H78" s="397"/>
      <c r="I78" s="397"/>
      <c r="J78" s="398"/>
      <c r="K78" s="398"/>
      <c r="L78" s="398"/>
      <c r="M78" s="398">
        <f t="shared" si="26"/>
        <v>0</v>
      </c>
      <c r="N78" s="398">
        <f t="shared" si="26"/>
        <v>0</v>
      </c>
      <c r="O78" s="398">
        <f t="shared" si="26"/>
        <v>0</v>
      </c>
      <c r="P78" s="398"/>
      <c r="Q78" s="398"/>
      <c r="R78" s="398"/>
      <c r="S78" s="398"/>
      <c r="T78" s="398"/>
      <c r="U78" s="398"/>
      <c r="V78" s="398"/>
      <c r="W78" s="399"/>
      <c r="X78" s="561"/>
    </row>
    <row r="79" spans="2:24" s="30" customFormat="1" ht="63">
      <c r="B79" s="389" t="s">
        <v>2</v>
      </c>
      <c r="C79" s="394" t="s">
        <v>34</v>
      </c>
      <c r="D79" s="400">
        <v>43</v>
      </c>
      <c r="E79" s="400">
        <f>SUM(E80:E83)</f>
        <v>43</v>
      </c>
      <c r="F79" s="400">
        <v>43</v>
      </c>
      <c r="G79" s="400">
        <f>SUM(G80:G83)</f>
        <v>43</v>
      </c>
      <c r="H79" s="400">
        <f>SUM(H80:H83)</f>
        <v>38.53</v>
      </c>
      <c r="I79" s="400">
        <v>28.03</v>
      </c>
      <c r="J79" s="396">
        <f>J81</f>
        <v>13341.41</v>
      </c>
      <c r="K79" s="396">
        <f t="shared" ref="K79:X79" si="29">K81</f>
        <v>19781.78</v>
      </c>
      <c r="L79" s="396">
        <f>L81</f>
        <v>9961.11</v>
      </c>
      <c r="M79" s="396">
        <f t="shared" si="29"/>
        <v>7584.2</v>
      </c>
      <c r="N79" s="396">
        <f>N81</f>
        <v>7689.8</v>
      </c>
      <c r="O79" s="396">
        <f t="shared" si="29"/>
        <v>5387.73</v>
      </c>
      <c r="P79" s="396">
        <f t="shared" si="29"/>
        <v>7584.2</v>
      </c>
      <c r="Q79" s="396">
        <f t="shared" si="29"/>
        <v>7689.8</v>
      </c>
      <c r="R79" s="396">
        <f t="shared" si="29"/>
        <v>5387.73</v>
      </c>
      <c r="S79" s="396">
        <f t="shared" si="29"/>
        <v>0</v>
      </c>
      <c r="T79" s="396">
        <f t="shared" si="29"/>
        <v>0</v>
      </c>
      <c r="U79" s="396">
        <f t="shared" si="29"/>
        <v>0</v>
      </c>
      <c r="V79" s="396">
        <f t="shared" si="29"/>
        <v>0</v>
      </c>
      <c r="W79" s="396">
        <f t="shared" si="29"/>
        <v>0</v>
      </c>
      <c r="X79" s="396">
        <f t="shared" si="29"/>
        <v>0</v>
      </c>
    </row>
    <row r="80" spans="2:24" ht="47.25">
      <c r="B80" s="391" t="s">
        <v>20</v>
      </c>
      <c r="C80" s="393" t="s">
        <v>4</v>
      </c>
      <c r="D80" s="397"/>
      <c r="E80" s="397"/>
      <c r="F80" s="397"/>
      <c r="G80" s="397"/>
      <c r="H80" s="397"/>
      <c r="I80" s="397"/>
      <c r="J80" s="398"/>
      <c r="K80" s="398"/>
      <c r="L80" s="398"/>
      <c r="M80" s="398">
        <f t="shared" ref="M80:O83" si="30">P80+S80+V80</f>
        <v>0</v>
      </c>
      <c r="N80" s="398">
        <f t="shared" si="30"/>
        <v>0</v>
      </c>
      <c r="O80" s="398">
        <f t="shared" si="30"/>
        <v>0</v>
      </c>
      <c r="P80" s="398"/>
      <c r="Q80" s="398"/>
      <c r="R80" s="398"/>
      <c r="S80" s="398"/>
      <c r="T80" s="398"/>
      <c r="U80" s="398"/>
      <c r="V80" s="398"/>
      <c r="W80" s="399"/>
      <c r="X80" s="561"/>
    </row>
    <row r="81" spans="2:24" ht="63">
      <c r="B81" s="391" t="s">
        <v>21</v>
      </c>
      <c r="C81" s="393" t="s">
        <v>5</v>
      </c>
      <c r="D81" s="397">
        <v>43</v>
      </c>
      <c r="E81" s="397">
        <v>43</v>
      </c>
      <c r="F81" s="397">
        <v>43</v>
      </c>
      <c r="G81" s="397">
        <v>43</v>
      </c>
      <c r="H81" s="397">
        <v>38.53</v>
      </c>
      <c r="I81" s="397">
        <v>28.03</v>
      </c>
      <c r="J81" s="398">
        <f>13341.41</f>
        <v>13341.41</v>
      </c>
      <c r="K81" s="398">
        <f>100.88+13478.9+6202</f>
        <v>19781.78</v>
      </c>
      <c r="L81" s="398">
        <f>494.52+66+9400.59</f>
        <v>9961.11</v>
      </c>
      <c r="M81" s="398">
        <f>P81+S81+V81</f>
        <v>7584.2</v>
      </c>
      <c r="N81" s="398">
        <f>Q81+T81+W81</f>
        <v>7689.8</v>
      </c>
      <c r="O81" s="398">
        <f>R81+U81+X81</f>
        <v>5387.73</v>
      </c>
      <c r="P81" s="398">
        <v>7584.2</v>
      </c>
      <c r="Q81" s="398">
        <v>7689.8</v>
      </c>
      <c r="R81" s="398">
        <v>5387.73</v>
      </c>
      <c r="S81" s="398"/>
      <c r="T81" s="398"/>
      <c r="U81" s="398"/>
      <c r="V81" s="398"/>
      <c r="W81" s="399"/>
      <c r="X81" s="562"/>
    </row>
    <row r="82" spans="2:24" ht="47.25">
      <c r="B82" s="391" t="s">
        <v>22</v>
      </c>
      <c r="C82" s="393" t="s">
        <v>6</v>
      </c>
      <c r="D82" s="397"/>
      <c r="E82" s="397"/>
      <c r="F82" s="397"/>
      <c r="G82" s="397"/>
      <c r="H82" s="397"/>
      <c r="I82" s="397"/>
      <c r="J82" s="398"/>
      <c r="K82" s="398"/>
      <c r="L82" s="398"/>
      <c r="M82" s="398">
        <f t="shared" si="30"/>
        <v>0</v>
      </c>
      <c r="N82" s="398">
        <f t="shared" si="30"/>
        <v>0</v>
      </c>
      <c r="O82" s="398">
        <f t="shared" si="30"/>
        <v>0</v>
      </c>
      <c r="P82" s="398"/>
      <c r="Q82" s="398"/>
      <c r="R82" s="398"/>
      <c r="S82" s="398"/>
      <c r="T82" s="398"/>
      <c r="U82" s="398"/>
      <c r="V82" s="398"/>
      <c r="W82" s="399"/>
      <c r="X82" s="561"/>
    </row>
    <row r="83" spans="2:24" ht="78.75">
      <c r="B83" s="391" t="s">
        <v>23</v>
      </c>
      <c r="C83" s="393" t="s">
        <v>7</v>
      </c>
      <c r="D83" s="397"/>
      <c r="E83" s="397"/>
      <c r="F83" s="397"/>
      <c r="G83" s="397"/>
      <c r="H83" s="397"/>
      <c r="I83" s="397"/>
      <c r="J83" s="398"/>
      <c r="K83" s="398"/>
      <c r="L83" s="398"/>
      <c r="M83" s="398">
        <f t="shared" si="30"/>
        <v>0</v>
      </c>
      <c r="N83" s="398">
        <f t="shared" si="30"/>
        <v>0</v>
      </c>
      <c r="O83" s="398">
        <f t="shared" si="30"/>
        <v>0</v>
      </c>
      <c r="P83" s="398"/>
      <c r="Q83" s="398"/>
      <c r="R83" s="398"/>
      <c r="S83" s="398"/>
      <c r="T83" s="398"/>
      <c r="U83" s="398"/>
      <c r="V83" s="398"/>
      <c r="W83" s="399"/>
      <c r="X83" s="561"/>
    </row>
    <row r="84" spans="2:24" ht="18.75">
      <c r="B84" s="88"/>
      <c r="C84" s="89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62"/>
      <c r="R84" s="46">
        <v>0</v>
      </c>
      <c r="S84" s="96"/>
      <c r="T84" s="96"/>
      <c r="U84" s="96"/>
      <c r="V84" s="96"/>
      <c r="W84" s="97"/>
      <c r="X84" s="98"/>
    </row>
    <row r="86" spans="2:24" s="401" customFormat="1" ht="23.25">
      <c r="D86" s="401">
        <f>D75-D79</f>
        <v>0</v>
      </c>
      <c r="E86" s="401">
        <f>E75-E79</f>
        <v>0</v>
      </c>
      <c r="F86" s="401">
        <f t="shared" ref="F86:X86" si="31">F75-F79</f>
        <v>0</v>
      </c>
      <c r="G86" s="401">
        <f t="shared" si="31"/>
        <v>0</v>
      </c>
      <c r="H86" s="401">
        <f t="shared" si="31"/>
        <v>0</v>
      </c>
      <c r="I86" s="401">
        <f t="shared" si="31"/>
        <v>0</v>
      </c>
      <c r="J86" s="401">
        <f t="shared" si="31"/>
        <v>0</v>
      </c>
      <c r="K86" s="401">
        <f t="shared" si="31"/>
        <v>0</v>
      </c>
      <c r="L86" s="401">
        <f t="shared" si="31"/>
        <v>0</v>
      </c>
      <c r="M86" s="401">
        <f t="shared" si="31"/>
        <v>0</v>
      </c>
      <c r="N86" s="401">
        <f t="shared" si="31"/>
        <v>0</v>
      </c>
      <c r="O86" s="401">
        <f t="shared" si="31"/>
        <v>0</v>
      </c>
      <c r="P86" s="401">
        <f t="shared" si="31"/>
        <v>0</v>
      </c>
      <c r="Q86" s="401">
        <f t="shared" si="31"/>
        <v>0</v>
      </c>
      <c r="R86" s="401">
        <f t="shared" si="31"/>
        <v>0</v>
      </c>
      <c r="S86" s="401">
        <f t="shared" si="31"/>
        <v>0</v>
      </c>
      <c r="T86" s="401">
        <f t="shared" si="31"/>
        <v>0</v>
      </c>
      <c r="U86" s="401">
        <f t="shared" si="31"/>
        <v>0</v>
      </c>
      <c r="V86" s="401">
        <f t="shared" si="31"/>
        <v>0</v>
      </c>
      <c r="W86" s="401">
        <f t="shared" si="31"/>
        <v>0</v>
      </c>
      <c r="X86" s="401">
        <f t="shared" si="31"/>
        <v>0</v>
      </c>
    </row>
  </sheetData>
  <mergeCells count="57">
    <mergeCell ref="B30:V30"/>
    <mergeCell ref="P15:X15"/>
    <mergeCell ref="M15:O16"/>
    <mergeCell ref="V16:X16"/>
    <mergeCell ref="B12:X12"/>
    <mergeCell ref="B15:B17"/>
    <mergeCell ref="J15:L16"/>
    <mergeCell ref="B13:X13"/>
    <mergeCell ref="C15:C17"/>
    <mergeCell ref="D15:E16"/>
    <mergeCell ref="S1:X1"/>
    <mergeCell ref="P16:R16"/>
    <mergeCell ref="H15:I16"/>
    <mergeCell ref="R3:X3"/>
    <mergeCell ref="R4:X4"/>
    <mergeCell ref="R5:X5"/>
    <mergeCell ref="R6:X6"/>
    <mergeCell ref="R7:X7"/>
    <mergeCell ref="B8:X8"/>
    <mergeCell ref="B9:X9"/>
    <mergeCell ref="B10:X10"/>
    <mergeCell ref="B11:X11"/>
    <mergeCell ref="F15:G16"/>
    <mergeCell ref="S16:U16"/>
    <mergeCell ref="B40:B42"/>
    <mergeCell ref="C40:C42"/>
    <mergeCell ref="D40:E41"/>
    <mergeCell ref="F40:G41"/>
    <mergeCell ref="H40:I41"/>
    <mergeCell ref="J40:L41"/>
    <mergeCell ref="M40:O41"/>
    <mergeCell ref="P40:X40"/>
    <mergeCell ref="P41:R41"/>
    <mergeCell ref="S41:U41"/>
    <mergeCell ref="V41:X41"/>
    <mergeCell ref="B56:B58"/>
    <mergeCell ref="C56:C58"/>
    <mergeCell ref="D56:E57"/>
    <mergeCell ref="F56:G57"/>
    <mergeCell ref="H56:I57"/>
    <mergeCell ref="J71:L72"/>
    <mergeCell ref="J56:L57"/>
    <mergeCell ref="M56:O57"/>
    <mergeCell ref="P56:X56"/>
    <mergeCell ref="P57:R57"/>
    <mergeCell ref="S57:U57"/>
    <mergeCell ref="V57:X57"/>
    <mergeCell ref="M71:O72"/>
    <mergeCell ref="P71:X71"/>
    <mergeCell ref="P72:R72"/>
    <mergeCell ref="S72:U72"/>
    <mergeCell ref="V72:X72"/>
    <mergeCell ref="B71:B73"/>
    <mergeCell ref="C71:C73"/>
    <mergeCell ref="D71:E72"/>
    <mergeCell ref="F71:G72"/>
    <mergeCell ref="H71:I72"/>
  </mergeCells>
  <phoneticPr fontId="2" type="noConversion"/>
  <pageMargins left="0.39370078740157483" right="0.39370078740157483" top="1.3779527559055118" bottom="0.39370078740157483" header="0.74803149606299213" footer="0.19685039370078741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B1:X34"/>
  <sheetViews>
    <sheetView view="pageBreakPreview" topLeftCell="A4" zoomScale="60" zoomScaleNormal="100" workbookViewId="0">
      <selection activeCell="N24" sqref="N24"/>
    </sheetView>
  </sheetViews>
  <sheetFormatPr defaultRowHeight="12.75"/>
  <cols>
    <col min="1" max="1" width="3.5703125" style="8" customWidth="1"/>
    <col min="2" max="2" width="5.140625" style="8" customWidth="1"/>
    <col min="3" max="3" width="20.140625" style="8" customWidth="1"/>
    <col min="4" max="4" width="11.140625" style="8" customWidth="1"/>
    <col min="5" max="6" width="12.140625" style="8" customWidth="1"/>
    <col min="7" max="7" width="11.7109375" style="8" customWidth="1"/>
    <col min="8" max="8" width="12.28515625" style="8" customWidth="1"/>
    <col min="9" max="9" width="11.7109375" style="8" customWidth="1"/>
    <col min="10" max="10" width="14.5703125" style="8" customWidth="1"/>
    <col min="11" max="11" width="14.42578125" style="8" customWidth="1"/>
    <col min="12" max="12" width="15.140625" style="8" customWidth="1"/>
    <col min="13" max="13" width="14.85546875" style="8" customWidth="1"/>
    <col min="14" max="14" width="15.140625" style="8" customWidth="1"/>
    <col min="15" max="15" width="15.85546875" style="8" customWidth="1"/>
    <col min="16" max="16" width="14.85546875" style="8" customWidth="1"/>
    <col min="17" max="17" width="14.42578125" style="8" customWidth="1"/>
    <col min="18" max="18" width="16" style="8" customWidth="1"/>
    <col min="19" max="19" width="10.7109375" style="8" customWidth="1"/>
    <col min="20" max="20" width="14.42578125" style="8" customWidth="1"/>
    <col min="21" max="21" width="13.28515625" style="8" customWidth="1"/>
    <col min="22" max="22" width="13.7109375" style="8" customWidth="1"/>
    <col min="23" max="23" width="14" style="8" customWidth="1"/>
    <col min="24" max="24" width="14.28515625" style="8" customWidth="1"/>
    <col min="25" max="16384" width="9.140625" style="8"/>
  </cols>
  <sheetData>
    <row r="1" spans="2:24" ht="38.25">
      <c r="R1" s="718" t="s">
        <v>44</v>
      </c>
      <c r="S1" s="718"/>
      <c r="T1" s="718"/>
      <c r="U1" s="718"/>
      <c r="V1" s="718"/>
      <c r="W1" s="718"/>
      <c r="X1" s="718"/>
    </row>
    <row r="2" spans="2:24" ht="34.5" customHeight="1">
      <c r="R2" s="12"/>
      <c r="S2" s="13"/>
      <c r="T2" s="13"/>
      <c r="U2" s="12"/>
      <c r="V2" s="12"/>
      <c r="W2" s="12"/>
    </row>
    <row r="3" spans="2:24" ht="23.25">
      <c r="B3" s="14"/>
      <c r="F3" s="184"/>
      <c r="R3" s="724" t="s">
        <v>75</v>
      </c>
      <c r="S3" s="724"/>
      <c r="T3" s="724"/>
      <c r="U3" s="724"/>
      <c r="V3" s="724"/>
      <c r="W3" s="724"/>
      <c r="X3" s="724"/>
    </row>
    <row r="4" spans="2:24" ht="23.25" customHeight="1">
      <c r="B4" s="14"/>
      <c r="C4" s="16"/>
      <c r="F4" s="184"/>
      <c r="R4" s="725" t="s">
        <v>80</v>
      </c>
      <c r="S4" s="724"/>
      <c r="T4" s="724"/>
      <c r="U4" s="724"/>
      <c r="V4" s="724"/>
      <c r="W4" s="724"/>
      <c r="X4" s="724"/>
    </row>
    <row r="5" spans="2:24" ht="23.25" customHeight="1">
      <c r="B5" s="14"/>
      <c r="C5" s="16"/>
      <c r="F5" s="184"/>
      <c r="R5" s="725" t="s">
        <v>81</v>
      </c>
      <c r="S5" s="725"/>
      <c r="T5" s="725"/>
      <c r="U5" s="725"/>
      <c r="V5" s="725"/>
      <c r="W5" s="725"/>
      <c r="X5" s="725"/>
    </row>
    <row r="6" spans="2:24" ht="23.25" customHeight="1">
      <c r="B6" s="14"/>
      <c r="C6" s="16"/>
      <c r="F6" s="184"/>
      <c r="R6" s="725" t="s">
        <v>82</v>
      </c>
      <c r="S6" s="725"/>
      <c r="T6" s="725"/>
      <c r="U6" s="725"/>
      <c r="V6" s="725"/>
      <c r="W6" s="725"/>
      <c r="X6" s="725"/>
    </row>
    <row r="7" spans="2:24" ht="23.25" customHeight="1">
      <c r="B7" s="14"/>
      <c r="C7" s="16"/>
      <c r="F7" s="184"/>
      <c r="R7" s="725" t="s">
        <v>78</v>
      </c>
      <c r="S7" s="725"/>
      <c r="T7" s="725"/>
      <c r="U7" s="725"/>
      <c r="V7" s="725"/>
      <c r="W7" s="725"/>
      <c r="X7" s="725"/>
    </row>
    <row r="8" spans="2:24" ht="38.25">
      <c r="B8" s="718" t="s">
        <v>41</v>
      </c>
      <c r="C8" s="718"/>
      <c r="D8" s="718"/>
      <c r="E8" s="718"/>
      <c r="F8" s="718"/>
      <c r="G8" s="718"/>
      <c r="H8" s="718"/>
      <c r="I8" s="718"/>
      <c r="J8" s="718"/>
      <c r="K8" s="718"/>
      <c r="L8" s="718"/>
      <c r="M8" s="718"/>
      <c r="N8" s="718"/>
      <c r="O8" s="718"/>
      <c r="P8" s="718"/>
      <c r="Q8" s="718"/>
      <c r="R8" s="718"/>
      <c r="S8" s="718"/>
      <c r="T8" s="718"/>
      <c r="U8" s="718"/>
      <c r="V8" s="718"/>
      <c r="W8" s="718"/>
      <c r="X8" s="718"/>
    </row>
    <row r="9" spans="2:24" ht="35.25" customHeight="1">
      <c r="B9" s="761" t="s">
        <v>86</v>
      </c>
      <c r="C9" s="761"/>
      <c r="D9" s="761"/>
      <c r="E9" s="761"/>
      <c r="F9" s="761"/>
      <c r="G9" s="761"/>
      <c r="H9" s="761"/>
      <c r="I9" s="761"/>
      <c r="J9" s="761"/>
      <c r="K9" s="761"/>
      <c r="L9" s="761"/>
      <c r="M9" s="761"/>
      <c r="N9" s="761"/>
      <c r="O9" s="761"/>
      <c r="P9" s="761"/>
      <c r="Q9" s="761"/>
      <c r="R9" s="761"/>
      <c r="S9" s="761"/>
      <c r="T9" s="761"/>
      <c r="U9" s="761"/>
      <c r="V9" s="761"/>
      <c r="W9" s="761"/>
      <c r="X9" s="761"/>
    </row>
    <row r="10" spans="2:24" ht="36.75" customHeight="1">
      <c r="B10" s="761" t="s">
        <v>88</v>
      </c>
      <c r="C10" s="761"/>
      <c r="D10" s="761"/>
      <c r="E10" s="761"/>
      <c r="F10" s="761"/>
      <c r="G10" s="761"/>
      <c r="H10" s="761"/>
      <c r="I10" s="761"/>
      <c r="J10" s="761"/>
      <c r="K10" s="761"/>
      <c r="L10" s="761"/>
      <c r="M10" s="761"/>
      <c r="N10" s="761"/>
      <c r="O10" s="761"/>
      <c r="P10" s="761"/>
      <c r="Q10" s="761"/>
      <c r="R10" s="761"/>
      <c r="S10" s="761"/>
      <c r="T10" s="761"/>
      <c r="U10" s="761"/>
      <c r="V10" s="761"/>
      <c r="W10" s="761"/>
      <c r="X10" s="761"/>
    </row>
    <row r="11" spans="2:24" ht="25.5">
      <c r="B11" s="692" t="s">
        <v>126</v>
      </c>
      <c r="C11" s="693"/>
      <c r="D11" s="693"/>
      <c r="E11" s="693"/>
      <c r="F11" s="693"/>
      <c r="G11" s="693"/>
      <c r="H11" s="693"/>
      <c r="I11" s="693"/>
      <c r="J11" s="693"/>
      <c r="K11" s="693"/>
      <c r="L11" s="693"/>
      <c r="M11" s="693"/>
      <c r="N11" s="693"/>
      <c r="O11" s="693"/>
      <c r="P11" s="693"/>
      <c r="Q11" s="693"/>
      <c r="R11" s="693"/>
      <c r="S11" s="693"/>
      <c r="T11" s="693"/>
      <c r="U11" s="693"/>
      <c r="V11" s="693"/>
      <c r="W11" s="693"/>
      <c r="X11" s="693"/>
    </row>
    <row r="12" spans="2:24" ht="30.75" customHeight="1">
      <c r="B12" s="692" t="s">
        <v>98</v>
      </c>
      <c r="C12" s="735"/>
      <c r="D12" s="735"/>
      <c r="E12" s="735"/>
      <c r="F12" s="735"/>
      <c r="G12" s="735"/>
      <c r="H12" s="735"/>
      <c r="I12" s="735"/>
      <c r="J12" s="735"/>
      <c r="K12" s="735"/>
      <c r="L12" s="735"/>
      <c r="M12" s="735"/>
      <c r="N12" s="735"/>
      <c r="O12" s="735"/>
      <c r="P12" s="735"/>
      <c r="Q12" s="735"/>
      <c r="R12" s="735"/>
      <c r="S12" s="735"/>
      <c r="T12" s="735"/>
      <c r="U12" s="735"/>
      <c r="V12" s="735"/>
      <c r="W12" s="735"/>
      <c r="X12" s="735"/>
    </row>
    <row r="15" spans="2:24" ht="23.25">
      <c r="B15" s="740" t="s">
        <v>101</v>
      </c>
      <c r="C15" s="740"/>
      <c r="D15" s="740"/>
      <c r="E15" s="740"/>
      <c r="F15" s="740"/>
      <c r="G15" s="740"/>
      <c r="H15" s="740"/>
      <c r="I15" s="740"/>
      <c r="J15" s="740"/>
      <c r="K15" s="740"/>
      <c r="L15" s="740"/>
      <c r="M15" s="740"/>
      <c r="N15" s="740"/>
      <c r="O15" s="740"/>
      <c r="P15" s="740"/>
      <c r="Q15" s="740"/>
      <c r="R15" s="740"/>
      <c r="S15" s="740"/>
      <c r="T15" s="740"/>
      <c r="U15" s="740"/>
      <c r="V15" s="740"/>
      <c r="W15" s="740"/>
      <c r="X15" s="740"/>
    </row>
    <row r="16" spans="2:24">
      <c r="B16" s="741"/>
      <c r="C16" s="741"/>
      <c r="D16" s="741"/>
      <c r="E16" s="741"/>
      <c r="F16" s="741"/>
      <c r="G16" s="741"/>
      <c r="H16" s="741"/>
      <c r="I16" s="741"/>
      <c r="J16" s="741"/>
      <c r="K16" s="741"/>
      <c r="L16" s="741"/>
      <c r="M16" s="741"/>
      <c r="N16" s="741"/>
      <c r="O16" s="741"/>
      <c r="P16" s="741"/>
      <c r="Q16" s="741"/>
      <c r="R16" s="741"/>
      <c r="S16" s="741"/>
      <c r="T16" s="741"/>
      <c r="U16" s="741"/>
      <c r="V16" s="741"/>
      <c r="W16" s="741"/>
      <c r="X16" s="741"/>
    </row>
    <row r="17" spans="2:24" ht="13.5" thickBot="1">
      <c r="B17" s="14"/>
      <c r="C17" s="148"/>
      <c r="D17" s="148"/>
      <c r="E17" s="148"/>
      <c r="F17" s="184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</row>
    <row r="18" spans="2:24">
      <c r="B18" s="742"/>
      <c r="C18" s="745" t="s">
        <v>30</v>
      </c>
      <c r="D18" s="748" t="s">
        <v>38</v>
      </c>
      <c r="E18" s="749"/>
      <c r="F18" s="748" t="s">
        <v>39</v>
      </c>
      <c r="G18" s="749"/>
      <c r="H18" s="748" t="s">
        <v>37</v>
      </c>
      <c r="I18" s="749"/>
      <c r="J18" s="748" t="s">
        <v>50</v>
      </c>
      <c r="K18" s="749"/>
      <c r="L18" s="752"/>
      <c r="M18" s="748" t="s">
        <v>36</v>
      </c>
      <c r="N18" s="749"/>
      <c r="O18" s="752"/>
      <c r="P18" s="756" t="s">
        <v>32</v>
      </c>
      <c r="Q18" s="756"/>
      <c r="R18" s="756"/>
      <c r="S18" s="756"/>
      <c r="T18" s="756"/>
      <c r="U18" s="756"/>
      <c r="V18" s="756"/>
      <c r="W18" s="757"/>
      <c r="X18" s="758"/>
    </row>
    <row r="19" spans="2:24">
      <c r="B19" s="743"/>
      <c r="C19" s="746"/>
      <c r="D19" s="750"/>
      <c r="E19" s="751"/>
      <c r="F19" s="750"/>
      <c r="G19" s="751"/>
      <c r="H19" s="750"/>
      <c r="I19" s="751"/>
      <c r="J19" s="753"/>
      <c r="K19" s="754"/>
      <c r="L19" s="755"/>
      <c r="M19" s="753"/>
      <c r="N19" s="754"/>
      <c r="O19" s="755"/>
      <c r="P19" s="759" t="s">
        <v>53</v>
      </c>
      <c r="Q19" s="759"/>
      <c r="R19" s="759"/>
      <c r="S19" s="759" t="s">
        <v>54</v>
      </c>
      <c r="T19" s="759"/>
      <c r="U19" s="759"/>
      <c r="V19" s="759" t="s">
        <v>33</v>
      </c>
      <c r="W19" s="759"/>
      <c r="X19" s="760"/>
    </row>
    <row r="20" spans="2:24" ht="48.75" thickBot="1">
      <c r="B20" s="744"/>
      <c r="C20" s="747"/>
      <c r="D20" s="185" t="s">
        <v>109</v>
      </c>
      <c r="E20" s="185" t="s">
        <v>14</v>
      </c>
      <c r="F20" s="185" t="s">
        <v>109</v>
      </c>
      <c r="G20" s="185" t="s">
        <v>14</v>
      </c>
      <c r="H20" s="185" t="s">
        <v>109</v>
      </c>
      <c r="I20" s="185" t="s">
        <v>14</v>
      </c>
      <c r="J20" s="185" t="s">
        <v>110</v>
      </c>
      <c r="K20" s="185" t="s">
        <v>19</v>
      </c>
      <c r="L20" s="185" t="s">
        <v>31</v>
      </c>
      <c r="M20" s="185" t="s">
        <v>102</v>
      </c>
      <c r="N20" s="185" t="s">
        <v>19</v>
      </c>
      <c r="O20" s="185" t="s">
        <v>31</v>
      </c>
      <c r="P20" s="185" t="s">
        <v>110</v>
      </c>
      <c r="Q20" s="185" t="s">
        <v>19</v>
      </c>
      <c r="R20" s="185" t="s">
        <v>31</v>
      </c>
      <c r="S20" s="185" t="s">
        <v>110</v>
      </c>
      <c r="T20" s="185" t="s">
        <v>19</v>
      </c>
      <c r="U20" s="185" t="s">
        <v>31</v>
      </c>
      <c r="V20" s="185" t="s">
        <v>110</v>
      </c>
      <c r="W20" s="185" t="s">
        <v>19</v>
      </c>
      <c r="X20" s="149" t="s">
        <v>31</v>
      </c>
    </row>
    <row r="21" spans="2:24" ht="13.5" thickBot="1">
      <c r="B21" s="11">
        <v>1</v>
      </c>
      <c r="C21" s="19">
        <v>2</v>
      </c>
      <c r="D21" s="19">
        <v>3</v>
      </c>
      <c r="E21" s="20">
        <v>4</v>
      </c>
      <c r="F21" s="19">
        <v>5</v>
      </c>
      <c r="G21" s="19">
        <v>6</v>
      </c>
      <c r="H21" s="20">
        <v>7</v>
      </c>
      <c r="I21" s="19">
        <v>8</v>
      </c>
      <c r="J21" s="19">
        <v>9</v>
      </c>
      <c r="K21" s="20">
        <v>10</v>
      </c>
      <c r="L21" s="19">
        <v>11</v>
      </c>
      <c r="M21" s="19">
        <v>12</v>
      </c>
      <c r="N21" s="20">
        <v>13</v>
      </c>
      <c r="O21" s="19">
        <v>14</v>
      </c>
      <c r="P21" s="19">
        <v>15</v>
      </c>
      <c r="Q21" s="20">
        <v>16</v>
      </c>
      <c r="R21" s="19">
        <v>17</v>
      </c>
      <c r="S21" s="19">
        <v>18</v>
      </c>
      <c r="T21" s="20">
        <v>19</v>
      </c>
      <c r="U21" s="19">
        <v>20</v>
      </c>
      <c r="V21" s="19">
        <v>21</v>
      </c>
      <c r="W21" s="20">
        <v>22</v>
      </c>
      <c r="X21" s="21">
        <v>23</v>
      </c>
    </row>
    <row r="22" spans="2:24" ht="45" customHeight="1" thickBot="1">
      <c r="B22" s="202" t="s">
        <v>1</v>
      </c>
      <c r="C22" s="203" t="s">
        <v>3</v>
      </c>
      <c r="D22" s="596">
        <f t="shared" ref="D22:R22" si="0">SUM(D23:D25)</f>
        <v>628.5</v>
      </c>
      <c r="E22" s="522">
        <f t="shared" si="0"/>
        <v>692.75</v>
      </c>
      <c r="F22" s="596">
        <f t="shared" si="0"/>
        <v>628.5</v>
      </c>
      <c r="G22" s="522">
        <f t="shared" si="0"/>
        <v>658.75</v>
      </c>
      <c r="H22" s="596">
        <f t="shared" si="0"/>
        <v>491.9</v>
      </c>
      <c r="I22" s="596">
        <f t="shared" si="0"/>
        <v>506</v>
      </c>
      <c r="J22" s="522">
        <f t="shared" si="0"/>
        <v>267219.23</v>
      </c>
      <c r="K22" s="522">
        <f t="shared" si="0"/>
        <v>427077.48</v>
      </c>
      <c r="L22" s="522">
        <f t="shared" si="0"/>
        <v>296612.3</v>
      </c>
      <c r="M22" s="522">
        <f t="shared" si="0"/>
        <v>161933.07999999999</v>
      </c>
      <c r="N22" s="522">
        <f t="shared" si="0"/>
        <v>176534.47</v>
      </c>
      <c r="O22" s="522">
        <f>SUM(O23:O25)</f>
        <v>122838.54999999999</v>
      </c>
      <c r="P22" s="522">
        <f t="shared" si="0"/>
        <v>152563.71</v>
      </c>
      <c r="Q22" s="522">
        <f t="shared" si="0"/>
        <v>162867.6</v>
      </c>
      <c r="R22" s="522">
        <f t="shared" si="0"/>
        <v>113253.47</v>
      </c>
      <c r="S22" s="522">
        <v>0</v>
      </c>
      <c r="T22" s="522">
        <f>SUM(T23:T25)</f>
        <v>0</v>
      </c>
      <c r="U22" s="522">
        <f>SUM(U23:U25)</f>
        <v>0</v>
      </c>
      <c r="V22" s="522">
        <f>V26</f>
        <v>9369.369999999999</v>
      </c>
      <c r="W22" s="522">
        <f>SUM(W23:W25)</f>
        <v>13666.869999999999</v>
      </c>
      <c r="X22" s="523">
        <f>SUM(X23:X25)</f>
        <v>9585.08</v>
      </c>
    </row>
    <row r="23" spans="2:24" ht="45" customHeight="1" thickBot="1">
      <c r="B23" s="204" t="s">
        <v>20</v>
      </c>
      <c r="C23" s="205" t="s">
        <v>16</v>
      </c>
      <c r="D23" s="524">
        <v>0</v>
      </c>
      <c r="E23" s="524">
        <v>0</v>
      </c>
      <c r="F23" s="524">
        <v>0</v>
      </c>
      <c r="G23" s="524">
        <v>0</v>
      </c>
      <c r="H23" s="524">
        <v>0</v>
      </c>
      <c r="I23" s="524">
        <v>0</v>
      </c>
      <c r="J23" s="525">
        <v>0</v>
      </c>
      <c r="K23" s="525">
        <v>0</v>
      </c>
      <c r="L23" s="525">
        <v>0</v>
      </c>
      <c r="M23" s="525">
        <f>P23+S23+V23</f>
        <v>0</v>
      </c>
      <c r="N23" s="525">
        <f>Q23+T23+W23</f>
        <v>0</v>
      </c>
      <c r="O23" s="525">
        <f>R23+U23+X23</f>
        <v>0</v>
      </c>
      <c r="P23" s="525">
        <f t="shared" ref="P23:X23" si="1">S23+V23+Y23</f>
        <v>0</v>
      </c>
      <c r="Q23" s="525">
        <f t="shared" si="1"/>
        <v>0</v>
      </c>
      <c r="R23" s="525">
        <f t="shared" si="1"/>
        <v>0</v>
      </c>
      <c r="S23" s="526">
        <v>0</v>
      </c>
      <c r="T23" s="526">
        <v>0</v>
      </c>
      <c r="U23" s="526">
        <v>0</v>
      </c>
      <c r="V23" s="525">
        <f t="shared" si="1"/>
        <v>0</v>
      </c>
      <c r="W23" s="525">
        <f t="shared" si="1"/>
        <v>0</v>
      </c>
      <c r="X23" s="527">
        <f t="shared" si="1"/>
        <v>0</v>
      </c>
    </row>
    <row r="24" spans="2:24" ht="45" customHeight="1" thickBot="1">
      <c r="B24" s="23" t="s">
        <v>21</v>
      </c>
      <c r="C24" s="9" t="s">
        <v>17</v>
      </c>
      <c r="D24" s="528">
        <f t="shared" ref="D24:I24" si="2">D26-D25</f>
        <v>510.5</v>
      </c>
      <c r="E24" s="519">
        <f t="shared" si="2"/>
        <v>486.75</v>
      </c>
      <c r="F24" s="528">
        <f t="shared" si="2"/>
        <v>510.5</v>
      </c>
      <c r="G24" s="519">
        <f t="shared" si="2"/>
        <v>498.75</v>
      </c>
      <c r="H24" s="528">
        <f t="shared" si="2"/>
        <v>385.29999999999995</v>
      </c>
      <c r="I24" s="528">
        <f t="shared" si="2"/>
        <v>386.4</v>
      </c>
      <c r="J24" s="519">
        <f>J26-J25</f>
        <v>191219.83</v>
      </c>
      <c r="K24" s="519">
        <f>K26-K25</f>
        <v>225512.09999999998</v>
      </c>
      <c r="L24" s="519">
        <f>L26-L25</f>
        <v>147094.90999999997</v>
      </c>
      <c r="M24" s="519">
        <f>P24+S24+V24</f>
        <v>127492.65999999999</v>
      </c>
      <c r="N24" s="519">
        <f>N26-N25</f>
        <v>129562.6</v>
      </c>
      <c r="O24" s="519">
        <f>O26-O25</f>
        <v>88417.78</v>
      </c>
      <c r="P24" s="529">
        <f>P26-P25</f>
        <v>126123.29</v>
      </c>
      <c r="Q24" s="519">
        <f>Q26-Q25</f>
        <v>127895.73000000001</v>
      </c>
      <c r="R24" s="519">
        <f>R26-R25</f>
        <v>87287.67</v>
      </c>
      <c r="S24" s="526">
        <v>0</v>
      </c>
      <c r="T24" s="526">
        <f>T26-T25</f>
        <v>0</v>
      </c>
      <c r="U24" s="526">
        <f>U26-U25</f>
        <v>0</v>
      </c>
      <c r="V24" s="529">
        <f>V26-V25</f>
        <v>1369.369999999999</v>
      </c>
      <c r="W24" s="519">
        <f>W26-W25</f>
        <v>1666.869999999999</v>
      </c>
      <c r="X24" s="530">
        <f>X26-X25</f>
        <v>1130.1100000000006</v>
      </c>
    </row>
    <row r="25" spans="2:24" ht="45" customHeight="1" thickBot="1">
      <c r="B25" s="206" t="s">
        <v>22</v>
      </c>
      <c r="C25" s="150" t="s">
        <v>18</v>
      </c>
      <c r="D25" s="531">
        <v>118</v>
      </c>
      <c r="E25" s="531">
        <v>206</v>
      </c>
      <c r="F25" s="531">
        <v>118</v>
      </c>
      <c r="G25" s="531">
        <v>160</v>
      </c>
      <c r="H25" s="531">
        <v>106.6</v>
      </c>
      <c r="I25" s="531">
        <v>119.6</v>
      </c>
      <c r="J25" s="532">
        <v>75999.399999999994</v>
      </c>
      <c r="K25" s="532">
        <v>201565.38</v>
      </c>
      <c r="L25" s="533">
        <v>149517.39000000001</v>
      </c>
      <c r="M25" s="532">
        <f>P25+S25+V25</f>
        <v>34440.42</v>
      </c>
      <c r="N25" s="532">
        <f>Q25+T25+W25</f>
        <v>46971.87</v>
      </c>
      <c r="O25" s="532">
        <f>R25+U25+X25</f>
        <v>34420.769999999997</v>
      </c>
      <c r="P25" s="534">
        <v>26440.42</v>
      </c>
      <c r="Q25" s="534">
        <v>34971.870000000003</v>
      </c>
      <c r="R25" s="534">
        <v>25965.8</v>
      </c>
      <c r="S25" s="526">
        <v>0</v>
      </c>
      <c r="T25" s="526">
        <v>0</v>
      </c>
      <c r="U25" s="526">
        <v>0</v>
      </c>
      <c r="V25" s="534">
        <v>8000</v>
      </c>
      <c r="W25" s="534">
        <v>12000</v>
      </c>
      <c r="X25" s="535">
        <v>8454.9699999999993</v>
      </c>
    </row>
    <row r="26" spans="2:24" ht="45" customHeight="1" thickBot="1">
      <c r="B26" s="207" t="s">
        <v>2</v>
      </c>
      <c r="C26" s="203" t="s">
        <v>34</v>
      </c>
      <c r="D26" s="597">
        <f t="shared" ref="D26:R26" si="3">SUM(D27:D30)</f>
        <v>628.5</v>
      </c>
      <c r="E26" s="536">
        <f t="shared" si="3"/>
        <v>692.75</v>
      </c>
      <c r="F26" s="597">
        <f t="shared" si="3"/>
        <v>628.5</v>
      </c>
      <c r="G26" s="597">
        <f t="shared" si="3"/>
        <v>658.75</v>
      </c>
      <c r="H26" s="597">
        <f t="shared" si="3"/>
        <v>491.9</v>
      </c>
      <c r="I26" s="597">
        <f t="shared" ref="I26:N26" si="4">SUM(I27:I30)</f>
        <v>506</v>
      </c>
      <c r="J26" s="536">
        <f t="shared" si="4"/>
        <v>267219.23</v>
      </c>
      <c r="K26" s="536">
        <f>SUM(K27:K30)</f>
        <v>427077.48</v>
      </c>
      <c r="L26" s="536">
        <f>SUM(L27:L30)</f>
        <v>296612.3</v>
      </c>
      <c r="M26" s="536">
        <f t="shared" si="4"/>
        <v>161933.08000000002</v>
      </c>
      <c r="N26" s="536">
        <f t="shared" si="4"/>
        <v>176534.47</v>
      </c>
      <c r="O26" s="536">
        <f t="shared" si="3"/>
        <v>122838.54999999999</v>
      </c>
      <c r="P26" s="536">
        <f t="shared" si="3"/>
        <v>152563.71</v>
      </c>
      <c r="Q26" s="536">
        <f t="shared" si="3"/>
        <v>162867.6</v>
      </c>
      <c r="R26" s="536">
        <f t="shared" si="3"/>
        <v>113253.47</v>
      </c>
      <c r="S26" s="522">
        <v>0</v>
      </c>
      <c r="T26" s="522">
        <f>SUM(T27:T30)</f>
        <v>0</v>
      </c>
      <c r="U26" s="522">
        <f>SUM(U27:U30)</f>
        <v>0</v>
      </c>
      <c r="V26" s="536">
        <f>SUM(V27:V30)</f>
        <v>9369.369999999999</v>
      </c>
      <c r="W26" s="536">
        <f>SUM(W27:W30)</f>
        <v>13666.869999999999</v>
      </c>
      <c r="X26" s="537">
        <f>SUM(X27:X30)</f>
        <v>9585.08</v>
      </c>
    </row>
    <row r="27" spans="2:24" ht="45" customHeight="1" thickBot="1">
      <c r="B27" s="208" t="s">
        <v>20</v>
      </c>
      <c r="C27" s="209" t="s">
        <v>8</v>
      </c>
      <c r="D27" s="538">
        <v>141</v>
      </c>
      <c r="E27" s="538">
        <v>142</v>
      </c>
      <c r="F27" s="538">
        <v>141</v>
      </c>
      <c r="G27" s="538">
        <v>142</v>
      </c>
      <c r="H27" s="538">
        <v>140.6</v>
      </c>
      <c r="I27" s="538">
        <v>133.5</v>
      </c>
      <c r="J27" s="539">
        <v>66446.42</v>
      </c>
      <c r="K27" s="539">
        <v>83025.61</v>
      </c>
      <c r="L27" s="539">
        <v>49083.12</v>
      </c>
      <c r="M27" s="539">
        <f t="shared" ref="M27:O30" si="5">P27+S27+V27</f>
        <v>43131.530000000006</v>
      </c>
      <c r="N27" s="540">
        <f t="shared" si="5"/>
        <v>43155.530000000006</v>
      </c>
      <c r="O27" s="540">
        <f t="shared" si="5"/>
        <v>28851.77</v>
      </c>
      <c r="P27" s="541">
        <v>43104.73</v>
      </c>
      <c r="Q27" s="541">
        <v>43104.73</v>
      </c>
      <c r="R27" s="541">
        <v>28804.22</v>
      </c>
      <c r="S27" s="526">
        <v>0</v>
      </c>
      <c r="T27" s="526">
        <v>0</v>
      </c>
      <c r="U27" s="526">
        <v>0</v>
      </c>
      <c r="V27" s="541">
        <v>26.8</v>
      </c>
      <c r="W27" s="541">
        <v>50.8</v>
      </c>
      <c r="X27" s="542">
        <v>47.55</v>
      </c>
    </row>
    <row r="28" spans="2:24" ht="45" customHeight="1" thickBot="1">
      <c r="B28" s="151" t="s">
        <v>21</v>
      </c>
      <c r="C28" s="9" t="s">
        <v>9</v>
      </c>
      <c r="D28" s="528">
        <v>9</v>
      </c>
      <c r="E28" s="528">
        <v>9</v>
      </c>
      <c r="F28" s="528">
        <v>9</v>
      </c>
      <c r="G28" s="528">
        <v>9</v>
      </c>
      <c r="H28" s="528">
        <v>6.5</v>
      </c>
      <c r="I28" s="528">
        <v>6.7</v>
      </c>
      <c r="J28" s="519">
        <v>4206.0200000000004</v>
      </c>
      <c r="K28" s="519">
        <v>5278.08</v>
      </c>
      <c r="L28" s="519">
        <v>3715.33</v>
      </c>
      <c r="M28" s="519">
        <f t="shared" si="5"/>
        <v>2180.7599999999998</v>
      </c>
      <c r="N28" s="519">
        <f t="shared" si="5"/>
        <v>2250.2999999999997</v>
      </c>
      <c r="O28" s="519">
        <f t="shared" si="5"/>
        <v>1577.99</v>
      </c>
      <c r="P28" s="529">
        <v>2171.16</v>
      </c>
      <c r="Q28" s="529">
        <v>2240.6999999999998</v>
      </c>
      <c r="R28" s="529">
        <v>1573.55</v>
      </c>
      <c r="S28" s="526">
        <v>0</v>
      </c>
      <c r="T28" s="526">
        <v>0</v>
      </c>
      <c r="U28" s="526">
        <v>0</v>
      </c>
      <c r="V28" s="529">
        <v>9.6</v>
      </c>
      <c r="W28" s="529">
        <v>9.6</v>
      </c>
      <c r="X28" s="543">
        <v>4.4400000000000004</v>
      </c>
    </row>
    <row r="29" spans="2:24" ht="45" customHeight="1" thickBot="1">
      <c r="B29" s="151" t="s">
        <v>22</v>
      </c>
      <c r="C29" s="9" t="s">
        <v>103</v>
      </c>
      <c r="D29" s="528">
        <v>271.5</v>
      </c>
      <c r="E29" s="519">
        <v>323.75</v>
      </c>
      <c r="F29" s="528">
        <v>271.5</v>
      </c>
      <c r="G29" s="519">
        <v>289.75</v>
      </c>
      <c r="H29" s="528">
        <v>220.6</v>
      </c>
      <c r="I29" s="528">
        <v>235.4</v>
      </c>
      <c r="J29" s="519">
        <v>135886.94</v>
      </c>
      <c r="K29" s="519">
        <v>269541.01</v>
      </c>
      <c r="L29" s="519">
        <v>196804.12</v>
      </c>
      <c r="M29" s="519">
        <f>P29+S29+V29</f>
        <v>73587.599999999991</v>
      </c>
      <c r="N29" s="519">
        <f t="shared" si="5"/>
        <v>86289.05</v>
      </c>
      <c r="O29" s="519">
        <f t="shared" si="5"/>
        <v>62087.360000000001</v>
      </c>
      <c r="P29" s="529">
        <v>64854.63</v>
      </c>
      <c r="Q29" s="529">
        <v>73386.080000000002</v>
      </c>
      <c r="R29" s="529">
        <v>53015.81</v>
      </c>
      <c r="S29" s="526">
        <v>0</v>
      </c>
      <c r="T29" s="526">
        <v>0</v>
      </c>
      <c r="U29" s="526">
        <v>0</v>
      </c>
      <c r="V29" s="529">
        <v>8732.9699999999993</v>
      </c>
      <c r="W29" s="529">
        <v>12902.97</v>
      </c>
      <c r="X29" s="543">
        <v>9071.5499999999993</v>
      </c>
    </row>
    <row r="30" spans="2:24" ht="45" customHeight="1" thickBot="1">
      <c r="B30" s="152" t="s">
        <v>23</v>
      </c>
      <c r="C30" s="153" t="s">
        <v>104</v>
      </c>
      <c r="D30" s="544">
        <v>207</v>
      </c>
      <c r="E30" s="544">
        <f>215+3</f>
        <v>218</v>
      </c>
      <c r="F30" s="544">
        <v>207</v>
      </c>
      <c r="G30" s="544">
        <f>215+3</f>
        <v>218</v>
      </c>
      <c r="H30" s="544">
        <v>124.2</v>
      </c>
      <c r="I30" s="544">
        <f>127.4+3</f>
        <v>130.4</v>
      </c>
      <c r="J30" s="545">
        <v>60679.85</v>
      </c>
      <c r="K30" s="545">
        <v>69232.78</v>
      </c>
      <c r="L30" s="545">
        <v>47009.73</v>
      </c>
      <c r="M30" s="545">
        <f>P30+S30+V30</f>
        <v>43033.19</v>
      </c>
      <c r="N30" s="525">
        <f t="shared" si="5"/>
        <v>44839.59</v>
      </c>
      <c r="O30" s="525">
        <f t="shared" si="5"/>
        <v>30321.43</v>
      </c>
      <c r="P30" s="546">
        <v>42433.19</v>
      </c>
      <c r="Q30" s="546">
        <v>44136.09</v>
      </c>
      <c r="R30" s="546">
        <f>29959.61-99.72</f>
        <v>29859.89</v>
      </c>
      <c r="S30" s="526">
        <v>0</v>
      </c>
      <c r="T30" s="526">
        <v>0</v>
      </c>
      <c r="U30" s="526">
        <v>0</v>
      </c>
      <c r="V30" s="546">
        <v>600</v>
      </c>
      <c r="W30" s="546">
        <v>703.5</v>
      </c>
      <c r="X30" s="547">
        <v>461.54</v>
      </c>
    </row>
    <row r="31" spans="2:24">
      <c r="B31" s="726" t="s">
        <v>25</v>
      </c>
      <c r="C31" s="726"/>
      <c r="D31" s="726"/>
      <c r="E31" s="726"/>
      <c r="F31" s="726"/>
      <c r="G31" s="726"/>
      <c r="H31" s="726"/>
      <c r="I31" s="726"/>
      <c r="J31" s="726"/>
      <c r="K31" s="726"/>
      <c r="L31" s="726"/>
      <c r="M31" s="726"/>
      <c r="N31" s="726"/>
      <c r="O31" s="726"/>
      <c r="P31" s="726"/>
      <c r="Q31" s="726"/>
      <c r="R31" s="726"/>
      <c r="S31" s="726"/>
      <c r="T31" s="726"/>
      <c r="U31" s="726"/>
      <c r="V31" s="726"/>
    </row>
    <row r="34" spans="3:24" s="200" customFormat="1" ht="26.25">
      <c r="C34" s="210">
        <f>D22-D26</f>
        <v>0</v>
      </c>
      <c r="D34" s="210">
        <f t="shared" ref="D34:X34" si="6">E22-E26</f>
        <v>0</v>
      </c>
      <c r="E34" s="210">
        <f t="shared" si="6"/>
        <v>0</v>
      </c>
      <c r="F34" s="210">
        <f t="shared" si="6"/>
        <v>0</v>
      </c>
      <c r="G34" s="210">
        <f t="shared" si="6"/>
        <v>0</v>
      </c>
      <c r="H34" s="210">
        <f t="shared" si="6"/>
        <v>0</v>
      </c>
      <c r="I34" s="210">
        <f t="shared" si="6"/>
        <v>0</v>
      </c>
      <c r="J34" s="210">
        <f t="shared" si="6"/>
        <v>0</v>
      </c>
      <c r="K34" s="210">
        <f t="shared" si="6"/>
        <v>0</v>
      </c>
      <c r="L34" s="210">
        <f t="shared" si="6"/>
        <v>0</v>
      </c>
      <c r="M34" s="210">
        <f t="shared" si="6"/>
        <v>0</v>
      </c>
      <c r="N34" s="210">
        <f t="shared" si="6"/>
        <v>0</v>
      </c>
      <c r="O34" s="210">
        <f t="shared" si="6"/>
        <v>0</v>
      </c>
      <c r="P34" s="210">
        <f t="shared" si="6"/>
        <v>0</v>
      </c>
      <c r="Q34" s="210">
        <f t="shared" si="6"/>
        <v>0</v>
      </c>
      <c r="R34" s="210">
        <f t="shared" si="6"/>
        <v>0</v>
      </c>
      <c r="S34" s="210">
        <f t="shared" si="6"/>
        <v>0</v>
      </c>
      <c r="T34" s="210">
        <f t="shared" si="6"/>
        <v>0</v>
      </c>
      <c r="U34" s="210">
        <f t="shared" si="6"/>
        <v>0</v>
      </c>
      <c r="V34" s="210">
        <f t="shared" si="6"/>
        <v>0</v>
      </c>
      <c r="W34" s="210">
        <f t="shared" si="6"/>
        <v>0</v>
      </c>
      <c r="X34" s="210">
        <f t="shared" si="6"/>
        <v>0</v>
      </c>
    </row>
  </sheetData>
  <mergeCells count="25">
    <mergeCell ref="B31:V31"/>
    <mergeCell ref="B8:X8"/>
    <mergeCell ref="B9:X9"/>
    <mergeCell ref="B10:X10"/>
    <mergeCell ref="B11:X11"/>
    <mergeCell ref="B12:X12"/>
    <mergeCell ref="R3:X3"/>
    <mergeCell ref="R1:X1"/>
    <mergeCell ref="R6:X6"/>
    <mergeCell ref="R4:X4"/>
    <mergeCell ref="R5:X5"/>
    <mergeCell ref="R7:X7"/>
    <mergeCell ref="B15:X15"/>
    <mergeCell ref="B16:X16"/>
    <mergeCell ref="B18:B20"/>
    <mergeCell ref="C18:C20"/>
    <mergeCell ref="D18:E19"/>
    <mergeCell ref="F18:G19"/>
    <mergeCell ref="H18:I19"/>
    <mergeCell ref="J18:L19"/>
    <mergeCell ref="M18:O19"/>
    <mergeCell ref="P18:X18"/>
    <mergeCell ref="P19:R19"/>
    <mergeCell ref="S19:U19"/>
    <mergeCell ref="V19:X19"/>
  </mergeCells>
  <phoneticPr fontId="2" type="noConversion"/>
  <pageMargins left="0.39370078740157483" right="0.39370078740157483" top="0.78740157480314965" bottom="0.39370078740157483" header="0.51181102362204722" footer="0.51181102362204722"/>
  <pageSetup paperSize="9" scale="4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 tint="-4.9989318521683403E-2"/>
  </sheetPr>
  <dimension ref="B1:X30"/>
  <sheetViews>
    <sheetView view="pageBreakPreview" zoomScale="60" zoomScaleNormal="100" workbookViewId="0">
      <selection activeCell="L25" sqref="L25"/>
    </sheetView>
  </sheetViews>
  <sheetFormatPr defaultRowHeight="12.75"/>
  <cols>
    <col min="1" max="1" width="3.42578125" style="8" customWidth="1"/>
    <col min="2" max="2" width="5.85546875" style="8" customWidth="1"/>
    <col min="3" max="3" width="17.7109375" style="8" customWidth="1"/>
    <col min="4" max="9" width="10.7109375" style="77" customWidth="1"/>
    <col min="10" max="11" width="21.140625" style="77" customWidth="1"/>
    <col min="12" max="12" width="22" style="77" customWidth="1"/>
    <col min="13" max="14" width="21.140625" style="77" customWidth="1"/>
    <col min="15" max="15" width="19.42578125" style="77" customWidth="1"/>
    <col min="16" max="17" width="20.5703125" style="77" customWidth="1"/>
    <col min="18" max="18" width="19.140625" style="77" customWidth="1"/>
    <col min="19" max="19" width="10.42578125" style="8" customWidth="1"/>
    <col min="20" max="21" width="13.5703125" style="8" customWidth="1"/>
    <col min="22" max="24" width="10.42578125" style="8" customWidth="1"/>
    <col min="25" max="16384" width="9.140625" style="8"/>
  </cols>
  <sheetData>
    <row r="1" spans="2:24" ht="38.25">
      <c r="R1" s="718" t="s">
        <v>43</v>
      </c>
      <c r="S1" s="718"/>
      <c r="T1" s="718"/>
      <c r="U1" s="718"/>
      <c r="V1" s="718"/>
      <c r="W1" s="718"/>
      <c r="X1" s="718"/>
    </row>
    <row r="2" spans="2:24" ht="30.75" customHeight="1">
      <c r="R2" s="146"/>
      <c r="S2" s="13"/>
      <c r="T2" s="13"/>
      <c r="U2" s="12"/>
      <c r="V2" s="12"/>
      <c r="W2" s="12"/>
    </row>
    <row r="3" spans="2:24" ht="23.25">
      <c r="B3" s="14"/>
      <c r="F3" s="15"/>
      <c r="R3" s="724" t="s">
        <v>75</v>
      </c>
      <c r="S3" s="724"/>
      <c r="T3" s="724"/>
      <c r="U3" s="724"/>
      <c r="V3" s="724"/>
      <c r="W3" s="724"/>
      <c r="X3" s="724"/>
    </row>
    <row r="4" spans="2:24" ht="23.25" customHeight="1">
      <c r="B4" s="14"/>
      <c r="C4" s="16"/>
      <c r="E4" s="15"/>
      <c r="R4" s="725" t="s">
        <v>80</v>
      </c>
      <c r="S4" s="724"/>
      <c r="T4" s="724"/>
      <c r="U4" s="724"/>
      <c r="V4" s="724"/>
      <c r="W4" s="724"/>
      <c r="X4" s="724"/>
    </row>
    <row r="5" spans="2:24" ht="23.25" customHeight="1">
      <c r="B5" s="14"/>
      <c r="C5" s="16"/>
      <c r="E5" s="15"/>
      <c r="R5" s="725" t="s">
        <v>81</v>
      </c>
      <c r="S5" s="725"/>
      <c r="T5" s="725"/>
      <c r="U5" s="725"/>
      <c r="V5" s="725"/>
      <c r="W5" s="725"/>
      <c r="X5" s="725"/>
    </row>
    <row r="6" spans="2:24" ht="23.25" customHeight="1">
      <c r="B6" s="14"/>
      <c r="C6" s="16"/>
      <c r="E6" s="15"/>
      <c r="R6" s="725" t="s">
        <v>82</v>
      </c>
      <c r="S6" s="725"/>
      <c r="T6" s="725"/>
      <c r="U6" s="725"/>
      <c r="V6" s="725"/>
      <c r="W6" s="725"/>
      <c r="X6" s="725"/>
    </row>
    <row r="7" spans="2:24" ht="23.25" customHeight="1">
      <c r="B7" s="14"/>
      <c r="C7" s="16"/>
      <c r="E7" s="15"/>
      <c r="R7" s="725" t="s">
        <v>78</v>
      </c>
      <c r="S7" s="725"/>
      <c r="T7" s="725"/>
      <c r="U7" s="725"/>
      <c r="V7" s="725"/>
      <c r="W7" s="725"/>
      <c r="X7" s="725"/>
    </row>
    <row r="8" spans="2:24" ht="38.25">
      <c r="B8" s="718" t="s">
        <v>41</v>
      </c>
      <c r="C8" s="718"/>
      <c r="D8" s="718"/>
      <c r="E8" s="718"/>
      <c r="F8" s="718"/>
      <c r="G8" s="718"/>
      <c r="H8" s="718"/>
      <c r="I8" s="718"/>
      <c r="J8" s="718"/>
      <c r="K8" s="718"/>
      <c r="L8" s="718"/>
      <c r="M8" s="718"/>
      <c r="N8" s="718"/>
      <c r="O8" s="718"/>
      <c r="P8" s="718"/>
      <c r="Q8" s="718"/>
      <c r="R8" s="718"/>
      <c r="S8" s="718"/>
      <c r="T8" s="718"/>
      <c r="U8" s="718"/>
      <c r="V8" s="718"/>
      <c r="W8" s="718"/>
      <c r="X8" s="718"/>
    </row>
    <row r="9" spans="2:24" ht="33" customHeight="1">
      <c r="B9" s="718" t="s">
        <v>86</v>
      </c>
      <c r="C9" s="718"/>
      <c r="D9" s="718"/>
      <c r="E9" s="718"/>
      <c r="F9" s="718"/>
      <c r="G9" s="718"/>
      <c r="H9" s="718"/>
      <c r="I9" s="718"/>
      <c r="J9" s="718"/>
      <c r="K9" s="718"/>
      <c r="L9" s="718"/>
      <c r="M9" s="718"/>
      <c r="N9" s="718"/>
      <c r="O9" s="718"/>
      <c r="P9" s="718"/>
      <c r="Q9" s="718"/>
      <c r="R9" s="718"/>
      <c r="S9" s="718"/>
      <c r="T9" s="718"/>
      <c r="U9" s="718"/>
      <c r="V9" s="718"/>
      <c r="W9" s="718"/>
      <c r="X9" s="718"/>
    </row>
    <row r="10" spans="2:24" ht="30.75" customHeight="1">
      <c r="B10" s="718" t="s">
        <v>89</v>
      </c>
      <c r="C10" s="718"/>
      <c r="D10" s="718"/>
      <c r="E10" s="718"/>
      <c r="F10" s="718"/>
      <c r="G10" s="718"/>
      <c r="H10" s="718"/>
      <c r="I10" s="718"/>
      <c r="J10" s="718"/>
      <c r="K10" s="718"/>
      <c r="L10" s="718"/>
      <c r="M10" s="718"/>
      <c r="N10" s="718"/>
      <c r="O10" s="718"/>
      <c r="P10" s="718"/>
      <c r="Q10" s="718"/>
      <c r="R10" s="718"/>
      <c r="S10" s="718"/>
      <c r="T10" s="718"/>
      <c r="U10" s="718"/>
      <c r="V10" s="718"/>
      <c r="W10" s="718"/>
      <c r="X10" s="718"/>
    </row>
    <row r="11" spans="2:24" ht="25.5">
      <c r="B11" s="692" t="s">
        <v>126</v>
      </c>
      <c r="C11" s="693"/>
      <c r="D11" s="693"/>
      <c r="E11" s="693"/>
      <c r="F11" s="693"/>
      <c r="G11" s="693"/>
      <c r="H11" s="693"/>
      <c r="I11" s="693"/>
      <c r="J11" s="693"/>
      <c r="K11" s="693"/>
      <c r="L11" s="693"/>
      <c r="M11" s="693"/>
      <c r="N11" s="693"/>
      <c r="O11" s="693"/>
      <c r="P11" s="693"/>
      <c r="Q11" s="693"/>
      <c r="R11" s="693"/>
      <c r="S11" s="693"/>
      <c r="T11" s="693"/>
      <c r="U11" s="693"/>
      <c r="V11" s="693"/>
      <c r="W11" s="693"/>
      <c r="X11" s="693"/>
    </row>
    <row r="12" spans="2:24" ht="32.25" customHeight="1">
      <c r="B12" s="692" t="s">
        <v>98</v>
      </c>
      <c r="C12" s="692"/>
      <c r="D12" s="692"/>
      <c r="E12" s="692"/>
      <c r="F12" s="692"/>
      <c r="G12" s="692"/>
      <c r="H12" s="692"/>
      <c r="I12" s="692"/>
      <c r="J12" s="692"/>
      <c r="K12" s="692"/>
      <c r="L12" s="692"/>
      <c r="M12" s="692"/>
      <c r="N12" s="692"/>
      <c r="O12" s="692"/>
      <c r="P12" s="692"/>
      <c r="Q12" s="692"/>
      <c r="R12" s="692"/>
      <c r="S12" s="692"/>
      <c r="T12" s="692"/>
      <c r="U12" s="692"/>
      <c r="V12" s="692"/>
      <c r="W12" s="692"/>
      <c r="X12" s="692"/>
    </row>
    <row r="13" spans="2:24" ht="18.75">
      <c r="B13" s="662" t="s">
        <v>12</v>
      </c>
      <c r="C13" s="662"/>
      <c r="D13" s="662"/>
      <c r="E13" s="662"/>
      <c r="F13" s="662"/>
      <c r="G13" s="662"/>
      <c r="H13" s="662"/>
      <c r="I13" s="662"/>
      <c r="J13" s="662"/>
      <c r="K13" s="662"/>
      <c r="L13" s="662"/>
      <c r="M13" s="662"/>
      <c r="N13" s="662"/>
      <c r="O13" s="662"/>
      <c r="P13" s="662"/>
      <c r="Q13" s="662"/>
      <c r="R13" s="662"/>
      <c r="S13" s="662"/>
      <c r="T13" s="662"/>
      <c r="U13" s="662"/>
      <c r="V13" s="662"/>
      <c r="W13" s="662"/>
      <c r="X13" s="662"/>
    </row>
    <row r="14" spans="2:24" ht="21" customHeight="1" thickBot="1">
      <c r="B14" s="14"/>
      <c r="F14" s="15"/>
    </row>
    <row r="15" spans="2:24" ht="15" customHeight="1">
      <c r="B15" s="765"/>
      <c r="C15" s="727" t="s">
        <v>30</v>
      </c>
      <c r="D15" s="720" t="s">
        <v>38</v>
      </c>
      <c r="E15" s="721"/>
      <c r="F15" s="720" t="s">
        <v>39</v>
      </c>
      <c r="G15" s="721"/>
      <c r="H15" s="720" t="s">
        <v>37</v>
      </c>
      <c r="I15" s="721"/>
      <c r="J15" s="720" t="s">
        <v>50</v>
      </c>
      <c r="K15" s="721"/>
      <c r="L15" s="730"/>
      <c r="M15" s="720" t="s">
        <v>36</v>
      </c>
      <c r="N15" s="721"/>
      <c r="O15" s="730"/>
      <c r="P15" s="762" t="s">
        <v>32</v>
      </c>
      <c r="Q15" s="762"/>
      <c r="R15" s="762"/>
      <c r="S15" s="762"/>
      <c r="T15" s="762"/>
      <c r="U15" s="762"/>
      <c r="V15" s="762"/>
      <c r="W15" s="763"/>
      <c r="X15" s="764"/>
    </row>
    <row r="16" spans="2:24" ht="57" customHeight="1">
      <c r="B16" s="766"/>
      <c r="C16" s="719"/>
      <c r="D16" s="722"/>
      <c r="E16" s="723"/>
      <c r="F16" s="722"/>
      <c r="G16" s="723"/>
      <c r="H16" s="722"/>
      <c r="I16" s="723"/>
      <c r="J16" s="731"/>
      <c r="K16" s="732"/>
      <c r="L16" s="733"/>
      <c r="M16" s="731"/>
      <c r="N16" s="732"/>
      <c r="O16" s="733"/>
      <c r="P16" s="719" t="s">
        <v>53</v>
      </c>
      <c r="Q16" s="719"/>
      <c r="R16" s="719"/>
      <c r="S16" s="719" t="s">
        <v>54</v>
      </c>
      <c r="T16" s="719"/>
      <c r="U16" s="719"/>
      <c r="V16" s="719" t="s">
        <v>33</v>
      </c>
      <c r="W16" s="719"/>
      <c r="X16" s="734"/>
    </row>
    <row r="17" spans="2:24" ht="84" customHeight="1" thickBot="1">
      <c r="B17" s="767"/>
      <c r="C17" s="739"/>
      <c r="D17" s="145" t="s">
        <v>49</v>
      </c>
      <c r="E17" s="145" t="s">
        <v>14</v>
      </c>
      <c r="F17" s="145" t="s">
        <v>49</v>
      </c>
      <c r="G17" s="145" t="s">
        <v>14</v>
      </c>
      <c r="H17" s="145" t="s">
        <v>49</v>
      </c>
      <c r="I17" s="145" t="s">
        <v>14</v>
      </c>
      <c r="J17" s="145" t="s">
        <v>48</v>
      </c>
      <c r="K17" s="145" t="s">
        <v>19</v>
      </c>
      <c r="L17" s="145" t="s">
        <v>31</v>
      </c>
      <c r="M17" s="145" t="s">
        <v>48</v>
      </c>
      <c r="N17" s="145" t="s">
        <v>19</v>
      </c>
      <c r="O17" s="145" t="s">
        <v>31</v>
      </c>
      <c r="P17" s="145" t="s">
        <v>48</v>
      </c>
      <c r="Q17" s="145" t="s">
        <v>19</v>
      </c>
      <c r="R17" s="145" t="s">
        <v>31</v>
      </c>
      <c r="S17" s="145" t="s">
        <v>48</v>
      </c>
      <c r="T17" s="145" t="s">
        <v>19</v>
      </c>
      <c r="U17" s="145" t="s">
        <v>31</v>
      </c>
      <c r="V17" s="145" t="s">
        <v>48</v>
      </c>
      <c r="W17" s="145" t="s">
        <v>19</v>
      </c>
      <c r="X17" s="18" t="s">
        <v>31</v>
      </c>
    </row>
    <row r="18" spans="2:24" ht="13.5" thickBot="1">
      <c r="B18" s="11">
        <v>1</v>
      </c>
      <c r="C18" s="19">
        <v>2</v>
      </c>
      <c r="D18" s="19">
        <v>3</v>
      </c>
      <c r="E18" s="20">
        <v>4</v>
      </c>
      <c r="F18" s="19">
        <v>5</v>
      </c>
      <c r="G18" s="19">
        <v>6</v>
      </c>
      <c r="H18" s="20">
        <v>7</v>
      </c>
      <c r="I18" s="19">
        <v>8</v>
      </c>
      <c r="J18" s="19">
        <v>9</v>
      </c>
      <c r="K18" s="20">
        <v>10</v>
      </c>
      <c r="L18" s="19">
        <v>11</v>
      </c>
      <c r="M18" s="19">
        <v>12</v>
      </c>
      <c r="N18" s="20">
        <v>13</v>
      </c>
      <c r="O18" s="19">
        <v>14</v>
      </c>
      <c r="P18" s="19">
        <v>15</v>
      </c>
      <c r="Q18" s="20">
        <v>16</v>
      </c>
      <c r="R18" s="19">
        <v>17</v>
      </c>
      <c r="S18" s="19">
        <v>18</v>
      </c>
      <c r="T18" s="20">
        <v>19</v>
      </c>
      <c r="U18" s="19">
        <v>20</v>
      </c>
      <c r="V18" s="19">
        <v>21</v>
      </c>
      <c r="W18" s="20">
        <v>22</v>
      </c>
      <c r="X18" s="21">
        <v>23</v>
      </c>
    </row>
    <row r="19" spans="2:24" ht="50.25" customHeight="1" thickBot="1">
      <c r="B19" s="10" t="s">
        <v>1</v>
      </c>
      <c r="C19" s="22" t="s">
        <v>3</v>
      </c>
      <c r="D19" s="563">
        <f t="shared" ref="D19:I19" si="0">D21+D20</f>
        <v>381</v>
      </c>
      <c r="E19" s="563">
        <f t="shared" si="0"/>
        <v>381</v>
      </c>
      <c r="F19" s="563">
        <f t="shared" si="0"/>
        <v>381</v>
      </c>
      <c r="G19" s="563">
        <f t="shared" si="0"/>
        <v>381</v>
      </c>
      <c r="H19" s="563">
        <f t="shared" si="0"/>
        <v>317</v>
      </c>
      <c r="I19" s="563">
        <f t="shared" si="0"/>
        <v>317</v>
      </c>
      <c r="J19" s="564">
        <f>J20+J21</f>
        <v>187871.37</v>
      </c>
      <c r="K19" s="564">
        <f t="shared" ref="K19:X19" si="1">K20+K21</f>
        <v>195874.59999999998</v>
      </c>
      <c r="L19" s="564">
        <f>L20+L21</f>
        <v>129148.21999999999</v>
      </c>
      <c r="M19" s="564">
        <f t="shared" si="1"/>
        <v>104112.62</v>
      </c>
      <c r="N19" s="564">
        <f>N20+N21</f>
        <v>105001.25</v>
      </c>
      <c r="O19" s="564">
        <f t="shared" si="1"/>
        <v>72802.41</v>
      </c>
      <c r="P19" s="564">
        <f t="shared" si="1"/>
        <v>104112.62</v>
      </c>
      <c r="Q19" s="564">
        <f t="shared" si="1"/>
        <v>104781.16</v>
      </c>
      <c r="R19" s="564">
        <f t="shared" si="1"/>
        <v>72582.320000000007</v>
      </c>
      <c r="S19" s="564">
        <f t="shared" si="1"/>
        <v>0</v>
      </c>
      <c r="T19" s="564">
        <f t="shared" si="1"/>
        <v>0</v>
      </c>
      <c r="U19" s="564">
        <f t="shared" si="1"/>
        <v>0</v>
      </c>
      <c r="V19" s="564">
        <f t="shared" si="1"/>
        <v>0</v>
      </c>
      <c r="W19" s="564">
        <f t="shared" si="1"/>
        <v>220.09</v>
      </c>
      <c r="X19" s="565">
        <f t="shared" si="1"/>
        <v>220.09</v>
      </c>
    </row>
    <row r="20" spans="2:24" ht="25.5">
      <c r="B20" s="23" t="s">
        <v>20</v>
      </c>
      <c r="C20" s="9" t="s">
        <v>16</v>
      </c>
      <c r="D20" s="162">
        <v>14</v>
      </c>
      <c r="E20" s="162">
        <v>14</v>
      </c>
      <c r="F20" s="162">
        <v>14</v>
      </c>
      <c r="G20" s="162">
        <v>14</v>
      </c>
      <c r="H20" s="162">
        <v>14</v>
      </c>
      <c r="I20" s="162">
        <v>14</v>
      </c>
      <c r="J20" s="165">
        <v>10310.14</v>
      </c>
      <c r="K20" s="165">
        <v>10316.39</v>
      </c>
      <c r="L20" s="165">
        <v>6660.12</v>
      </c>
      <c r="M20" s="370">
        <f>P20</f>
        <v>7043.12</v>
      </c>
      <c r="N20" s="370">
        <f>Q20+T20</f>
        <v>7047.92</v>
      </c>
      <c r="O20" s="370">
        <f>R20+U20</f>
        <v>4770.28</v>
      </c>
      <c r="P20" s="371">
        <v>7043.12</v>
      </c>
      <c r="Q20" s="371">
        <v>7047.92</v>
      </c>
      <c r="R20" s="371">
        <v>4770.28</v>
      </c>
      <c r="S20" s="372"/>
      <c r="T20" s="372"/>
      <c r="U20" s="372"/>
      <c r="V20" s="372"/>
      <c r="W20" s="373"/>
      <c r="X20" s="374"/>
    </row>
    <row r="21" spans="2:24" ht="25.5">
      <c r="B21" s="23" t="s">
        <v>21</v>
      </c>
      <c r="C21" s="9" t="s">
        <v>17</v>
      </c>
      <c r="D21" s="162">
        <f t="shared" ref="D21:I21" si="2">D24+8</f>
        <v>367</v>
      </c>
      <c r="E21" s="162">
        <f t="shared" si="2"/>
        <v>367</v>
      </c>
      <c r="F21" s="162">
        <f t="shared" si="2"/>
        <v>367</v>
      </c>
      <c r="G21" s="162">
        <f t="shared" si="2"/>
        <v>367</v>
      </c>
      <c r="H21" s="162">
        <f t="shared" si="2"/>
        <v>303</v>
      </c>
      <c r="I21" s="162">
        <f t="shared" si="2"/>
        <v>303</v>
      </c>
      <c r="J21" s="370">
        <f>J24+(3577.45+0.3)</f>
        <v>177561.22999999998</v>
      </c>
      <c r="K21" s="165">
        <f>K24+(0.3+3580.57+145)</f>
        <v>185558.21</v>
      </c>
      <c r="L21" s="165">
        <f>L24+(2128.76+145)</f>
        <v>122488.09999999999</v>
      </c>
      <c r="M21" s="370">
        <f t="shared" ref="M21:O22" si="3">P21+S21+V21</f>
        <v>97069.5</v>
      </c>
      <c r="N21" s="370">
        <f t="shared" si="3"/>
        <v>97953.33</v>
      </c>
      <c r="O21" s="370">
        <f>R21+U21+X21</f>
        <v>68032.13</v>
      </c>
      <c r="P21" s="370">
        <f>P24+2133.04</f>
        <v>97069.5</v>
      </c>
      <c r="Q21" s="370">
        <f>Q24+2135.44</f>
        <v>97733.24</v>
      </c>
      <c r="R21" s="370">
        <f>R24+1486.02</f>
        <v>67812.040000000008</v>
      </c>
      <c r="S21" s="372"/>
      <c r="T21" s="372"/>
      <c r="U21" s="372"/>
      <c r="V21" s="372"/>
      <c r="W21" s="373">
        <f>W24</f>
        <v>220.09</v>
      </c>
      <c r="X21" s="374">
        <f>X24</f>
        <v>220.09</v>
      </c>
    </row>
    <row r="22" spans="2:24" ht="25.5">
      <c r="B22" s="23" t="s">
        <v>22</v>
      </c>
      <c r="C22" s="9" t="s">
        <v>18</v>
      </c>
      <c r="D22" s="162"/>
      <c r="E22" s="162"/>
      <c r="F22" s="162"/>
      <c r="G22" s="162"/>
      <c r="H22" s="162"/>
      <c r="I22" s="162"/>
      <c r="J22" s="165"/>
      <c r="K22" s="165"/>
      <c r="L22" s="165"/>
      <c r="M22" s="370">
        <f t="shared" si="3"/>
        <v>0</v>
      </c>
      <c r="N22" s="370">
        <f t="shared" si="3"/>
        <v>0</v>
      </c>
      <c r="O22" s="370">
        <f t="shared" si="3"/>
        <v>0</v>
      </c>
      <c r="P22" s="375"/>
      <c r="Q22" s="375"/>
      <c r="R22" s="375"/>
      <c r="S22" s="376"/>
      <c r="T22" s="376"/>
      <c r="U22" s="376"/>
      <c r="V22" s="376"/>
      <c r="W22" s="377"/>
      <c r="X22" s="378"/>
    </row>
    <row r="23" spans="2:24" ht="51">
      <c r="B23" s="154" t="s">
        <v>2</v>
      </c>
      <c r="C23" s="24" t="s">
        <v>34</v>
      </c>
      <c r="D23" s="379">
        <f>D24+D26</f>
        <v>381</v>
      </c>
      <c r="E23" s="379">
        <f t="shared" ref="E23:X23" si="4">E24+E25+E26</f>
        <v>381</v>
      </c>
      <c r="F23" s="379">
        <f t="shared" si="4"/>
        <v>381</v>
      </c>
      <c r="G23" s="379">
        <f t="shared" si="4"/>
        <v>381</v>
      </c>
      <c r="H23" s="379">
        <f t="shared" si="4"/>
        <v>317</v>
      </c>
      <c r="I23" s="379">
        <f t="shared" si="4"/>
        <v>317</v>
      </c>
      <c r="J23" s="380">
        <f t="shared" si="4"/>
        <v>187871.37</v>
      </c>
      <c r="K23" s="380">
        <f t="shared" si="4"/>
        <v>195874.6</v>
      </c>
      <c r="L23" s="380">
        <f t="shared" si="4"/>
        <v>129148.22</v>
      </c>
      <c r="M23" s="380">
        <f t="shared" si="4"/>
        <v>104112.62000000001</v>
      </c>
      <c r="N23" s="380">
        <f>N24+N25+N26</f>
        <v>105001.25</v>
      </c>
      <c r="O23" s="380">
        <f t="shared" si="4"/>
        <v>72802.41</v>
      </c>
      <c r="P23" s="380">
        <f t="shared" si="4"/>
        <v>104112.62000000001</v>
      </c>
      <c r="Q23" s="380">
        <f>Q24+Q25+Q26</f>
        <v>104781.16</v>
      </c>
      <c r="R23" s="380">
        <f t="shared" si="4"/>
        <v>72582.320000000007</v>
      </c>
      <c r="S23" s="380">
        <f t="shared" si="4"/>
        <v>0</v>
      </c>
      <c r="T23" s="380">
        <f t="shared" si="4"/>
        <v>0</v>
      </c>
      <c r="U23" s="380">
        <f t="shared" si="4"/>
        <v>0</v>
      </c>
      <c r="V23" s="380">
        <f t="shared" si="4"/>
        <v>0</v>
      </c>
      <c r="W23" s="380">
        <f>W24+W25+W26</f>
        <v>220.09</v>
      </c>
      <c r="X23" s="381">
        <f t="shared" si="4"/>
        <v>220.09</v>
      </c>
    </row>
    <row r="24" spans="2:24" ht="53.25" customHeight="1">
      <c r="B24" s="151" t="s">
        <v>20</v>
      </c>
      <c r="C24" s="9" t="s">
        <v>28</v>
      </c>
      <c r="D24" s="162">
        <v>359</v>
      </c>
      <c r="E24" s="162">
        <v>359</v>
      </c>
      <c r="F24" s="162">
        <v>359</v>
      </c>
      <c r="G24" s="162">
        <v>359</v>
      </c>
      <c r="H24" s="162">
        <v>295</v>
      </c>
      <c r="I24" s="162">
        <v>295</v>
      </c>
      <c r="J24" s="165">
        <f>173661.83+321.65</f>
        <v>173983.47999999998</v>
      </c>
      <c r="K24" s="165">
        <f>171506.11+6557.7+3768.53</f>
        <v>181832.34</v>
      </c>
      <c r="L24" s="165">
        <f>1895.31+3204.14+115114.89</f>
        <v>120214.34</v>
      </c>
      <c r="M24" s="370">
        <f>P24+S24+V24</f>
        <v>94936.46</v>
      </c>
      <c r="N24" s="370">
        <f>Q24+T24+W24</f>
        <v>95817.89</v>
      </c>
      <c r="O24" s="370">
        <f t="shared" ref="M24:O25" si="5">R24+U24+X24</f>
        <v>66546.11</v>
      </c>
      <c r="P24" s="371">
        <v>94936.46</v>
      </c>
      <c r="Q24" s="371">
        <v>95597.8</v>
      </c>
      <c r="R24" s="371">
        <v>66326.02</v>
      </c>
      <c r="S24" s="376"/>
      <c r="T24" s="372"/>
      <c r="U24" s="372"/>
      <c r="V24" s="376"/>
      <c r="W24" s="373">
        <v>220.09</v>
      </c>
      <c r="X24" s="374">
        <v>220.09</v>
      </c>
    </row>
    <row r="25" spans="2:24" ht="38.25">
      <c r="B25" s="155" t="s">
        <v>21</v>
      </c>
      <c r="C25" s="150" t="s">
        <v>29</v>
      </c>
      <c r="D25" s="382"/>
      <c r="E25" s="382"/>
      <c r="F25" s="382"/>
      <c r="G25" s="382"/>
      <c r="H25" s="382"/>
      <c r="I25" s="382"/>
      <c r="J25" s="383"/>
      <c r="K25" s="383"/>
      <c r="L25" s="383"/>
      <c r="M25" s="370">
        <f t="shared" si="5"/>
        <v>0</v>
      </c>
      <c r="N25" s="370">
        <f t="shared" si="5"/>
        <v>0</v>
      </c>
      <c r="O25" s="370">
        <f t="shared" si="5"/>
        <v>0</v>
      </c>
      <c r="P25" s="384"/>
      <c r="Q25" s="384"/>
      <c r="R25" s="384"/>
      <c r="S25" s="385"/>
      <c r="T25" s="385"/>
      <c r="U25" s="385"/>
      <c r="V25" s="385"/>
      <c r="W25" s="386"/>
      <c r="X25" s="387"/>
    </row>
    <row r="26" spans="2:24" ht="51.75" thickBot="1">
      <c r="B26" s="152" t="s">
        <v>22</v>
      </c>
      <c r="C26" s="153" t="s">
        <v>52</v>
      </c>
      <c r="D26" s="166">
        <f>E26</f>
        <v>22</v>
      </c>
      <c r="E26" s="166">
        <f>E20+8</f>
        <v>22</v>
      </c>
      <c r="F26" s="166">
        <f>G26</f>
        <v>22</v>
      </c>
      <c r="G26" s="166">
        <f>G20+8</f>
        <v>22</v>
      </c>
      <c r="H26" s="166">
        <f>I26</f>
        <v>22</v>
      </c>
      <c r="I26" s="166">
        <f>I20+8</f>
        <v>22</v>
      </c>
      <c r="J26" s="169">
        <v>13887.89</v>
      </c>
      <c r="K26" s="169">
        <f>(0.3+3580.57+145)+K20</f>
        <v>14042.26</v>
      </c>
      <c r="L26" s="169">
        <f>(2128.76+145)+L20</f>
        <v>8933.880000000001</v>
      </c>
      <c r="M26" s="169">
        <f>P26+S26+V26</f>
        <v>9176.16</v>
      </c>
      <c r="N26" s="169">
        <f>Q26+T26</f>
        <v>9183.36</v>
      </c>
      <c r="O26" s="169">
        <f>R26+U26</f>
        <v>6256.2999999999993</v>
      </c>
      <c r="P26" s="169">
        <f>2133.04+P20</f>
        <v>9176.16</v>
      </c>
      <c r="Q26" s="169">
        <f>2135.44+Q20</f>
        <v>9183.36</v>
      </c>
      <c r="R26" s="169">
        <f>1486.02+R20</f>
        <v>6256.2999999999993</v>
      </c>
      <c r="S26" s="169"/>
      <c r="T26" s="169"/>
      <c r="U26" s="169"/>
      <c r="V26" s="169">
        <f>V19</f>
        <v>0</v>
      </c>
      <c r="W26" s="169"/>
      <c r="X26" s="388"/>
    </row>
    <row r="27" spans="2:24" ht="12.75" customHeight="1">
      <c r="B27" s="726" t="s">
        <v>25</v>
      </c>
      <c r="C27" s="726"/>
      <c r="D27" s="726"/>
      <c r="E27" s="726"/>
      <c r="F27" s="726"/>
      <c r="G27" s="726"/>
      <c r="H27" s="726"/>
      <c r="I27" s="726"/>
      <c r="J27" s="726"/>
      <c r="K27" s="726"/>
      <c r="L27" s="726"/>
      <c r="M27" s="726"/>
      <c r="N27" s="726"/>
      <c r="O27" s="726"/>
      <c r="P27" s="726"/>
      <c r="Q27" s="726"/>
      <c r="R27" s="726"/>
      <c r="S27" s="726"/>
      <c r="T27" s="726"/>
      <c r="U27" s="726"/>
      <c r="V27" s="726"/>
    </row>
    <row r="29" spans="2:24" ht="15.75">
      <c r="B29" s="156"/>
      <c r="C29" s="156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6"/>
      <c r="T29" s="156"/>
      <c r="U29" s="156"/>
      <c r="V29" s="156"/>
      <c r="W29" s="156"/>
      <c r="X29" s="156"/>
    </row>
    <row r="30" spans="2:24" s="210" customFormat="1" ht="26.25">
      <c r="B30" s="768" t="s">
        <v>119</v>
      </c>
      <c r="C30" s="768"/>
      <c r="D30" s="218">
        <f>D19-D23</f>
        <v>0</v>
      </c>
      <c r="E30" s="218">
        <f t="shared" ref="E30:X30" si="6">E19-E23</f>
        <v>0</v>
      </c>
      <c r="F30" s="218">
        <f t="shared" si="6"/>
        <v>0</v>
      </c>
      <c r="G30" s="218">
        <f t="shared" si="6"/>
        <v>0</v>
      </c>
      <c r="H30" s="218">
        <f t="shared" si="6"/>
        <v>0</v>
      </c>
      <c r="I30" s="218">
        <f t="shared" si="6"/>
        <v>0</v>
      </c>
      <c r="J30" s="218">
        <f t="shared" si="6"/>
        <v>0</v>
      </c>
      <c r="K30" s="218">
        <f t="shared" si="6"/>
        <v>0</v>
      </c>
      <c r="L30" s="218">
        <f t="shared" si="6"/>
        <v>0</v>
      </c>
      <c r="M30" s="218">
        <f t="shared" si="6"/>
        <v>0</v>
      </c>
      <c r="N30" s="218">
        <f t="shared" si="6"/>
        <v>0</v>
      </c>
      <c r="O30" s="218">
        <f t="shared" si="6"/>
        <v>0</v>
      </c>
      <c r="P30" s="218">
        <f t="shared" si="6"/>
        <v>0</v>
      </c>
      <c r="Q30" s="218">
        <f t="shared" si="6"/>
        <v>0</v>
      </c>
      <c r="R30" s="218">
        <f t="shared" si="6"/>
        <v>0</v>
      </c>
      <c r="S30" s="218">
        <f t="shared" si="6"/>
        <v>0</v>
      </c>
      <c r="T30" s="218">
        <f t="shared" si="6"/>
        <v>0</v>
      </c>
      <c r="U30" s="218">
        <f t="shared" si="6"/>
        <v>0</v>
      </c>
      <c r="V30" s="218">
        <f t="shared" si="6"/>
        <v>0</v>
      </c>
      <c r="W30" s="218">
        <f t="shared" si="6"/>
        <v>0</v>
      </c>
      <c r="X30" s="218">
        <f t="shared" si="6"/>
        <v>0</v>
      </c>
    </row>
  </sheetData>
  <mergeCells count="25">
    <mergeCell ref="B30:C30"/>
    <mergeCell ref="R1:X1"/>
    <mergeCell ref="R3:X3"/>
    <mergeCell ref="R4:X4"/>
    <mergeCell ref="R5:X5"/>
    <mergeCell ref="V16:X16"/>
    <mergeCell ref="R6:X6"/>
    <mergeCell ref="R7:X7"/>
    <mergeCell ref="B8:X8"/>
    <mergeCell ref="B12:X12"/>
    <mergeCell ref="B13:X13"/>
    <mergeCell ref="B9:X9"/>
    <mergeCell ref="B10:X10"/>
    <mergeCell ref="H15:I16"/>
    <mergeCell ref="M15:O16"/>
    <mergeCell ref="B27:V27"/>
    <mergeCell ref="D15:E16"/>
    <mergeCell ref="J15:L16"/>
    <mergeCell ref="P15:X15"/>
    <mergeCell ref="B11:X11"/>
    <mergeCell ref="B15:B17"/>
    <mergeCell ref="P16:R16"/>
    <mergeCell ref="S16:U16"/>
    <mergeCell ref="F15:G16"/>
    <mergeCell ref="C15:C17"/>
  </mergeCells>
  <phoneticPr fontId="2" type="noConversion"/>
  <pageMargins left="0.39370078740157483" right="0.39370078740157483" top="1.2598425196850394" bottom="0.31496062992125984" header="0.51181102362204722" footer="0.35433070866141736"/>
  <pageSetup paperSize="9" scale="4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Y106"/>
  <sheetViews>
    <sheetView view="pageBreakPreview" topLeftCell="A10" zoomScale="60" zoomScaleNormal="100" workbookViewId="0">
      <selection activeCell="M100" sqref="M100"/>
    </sheetView>
  </sheetViews>
  <sheetFormatPr defaultRowHeight="12.75"/>
  <cols>
    <col min="1" max="1" width="3.42578125" style="8" customWidth="1"/>
    <col min="2" max="2" width="8.85546875" style="8" customWidth="1"/>
    <col min="3" max="3" width="23" style="8" customWidth="1"/>
    <col min="4" max="8" width="14.140625" style="8" customWidth="1"/>
    <col min="9" max="9" width="14.28515625" style="8" customWidth="1"/>
    <col min="10" max="18" width="19.28515625" style="77" customWidth="1"/>
    <col min="19" max="21" width="17.5703125" style="8" customWidth="1"/>
    <col min="22" max="23" width="14.28515625" style="8" customWidth="1"/>
    <col min="24" max="24" width="14.140625" style="8" customWidth="1"/>
    <col min="25" max="16384" width="9.140625" style="8"/>
  </cols>
  <sheetData>
    <row r="1" spans="2:24" s="159" customFormat="1" ht="44.25" customHeight="1">
      <c r="D1" s="158">
        <f>'образование+молодежка'!D19+культура!D22+'физ-ра'!D19+прочие..!D23</f>
        <v>13883.970000000001</v>
      </c>
      <c r="E1" s="158">
        <f>'образование+молодежка'!E19+культура!E22+'физ-ра'!E19+прочие..!E23</f>
        <v>14279.630000000001</v>
      </c>
      <c r="F1" s="158">
        <f>'образование+молодежка'!F19+культура!F22+'физ-ра'!F19+прочие..!F23</f>
        <v>13707.06</v>
      </c>
      <c r="G1" s="158">
        <f>'образование+молодежка'!G19+культура!G22+'физ-ра'!G19+прочие..!G23</f>
        <v>13803.839999999998</v>
      </c>
      <c r="H1" s="158">
        <f>'образование+молодежка'!H19+культура!H22+'физ-ра'!H19+прочие..!H23</f>
        <v>10003.73</v>
      </c>
      <c r="I1" s="158">
        <f>'образование+молодежка'!I19+культура!I22+'физ-ра'!I19+прочие..!I23</f>
        <v>9902.93</v>
      </c>
      <c r="J1" s="158">
        <f>'образование+молодежка'!J19+культура!J22+'физ-ра'!J19+прочие..!J23</f>
        <v>5636227.3300000001</v>
      </c>
      <c r="K1" s="158">
        <f>'образование+молодежка'!K19+культура!K22+'физ-ра'!K19+прочие..!K23</f>
        <v>6723390.1100000003</v>
      </c>
      <c r="L1" s="158">
        <f>'образование+молодежка'!L19+культура!L22+'физ-ра'!L19+прочие..!L23</f>
        <v>4458765.0799999991</v>
      </c>
      <c r="M1" s="158">
        <f>'образование+молодежка'!M19+культура!M22+'физ-ра'!M19+прочие..!M23</f>
        <v>3169981.6130000008</v>
      </c>
      <c r="N1" s="158">
        <f>'образование+молодежка'!N19+культура!N22+'физ-ра'!N19+прочие..!N23</f>
        <v>3313862.1600000006</v>
      </c>
      <c r="O1" s="158">
        <f>'образование+молодежка'!O19+культура!O22+'физ-ра'!O19+прочие..!O23</f>
        <v>2267413.9699999997</v>
      </c>
      <c r="P1" s="158">
        <f>'образование+молодежка'!P19+культура!P22+'физ-ра'!P19+прочие..!P23</f>
        <v>1392690.9029999999</v>
      </c>
      <c r="Q1" s="158">
        <f>'образование+молодежка'!Q19+культура!Q22+'физ-ра'!Q19+прочие..!Q23</f>
        <v>1426657.93</v>
      </c>
      <c r="R1" s="158">
        <f>'образование+молодежка'!R19+культура!R22+'физ-ра'!R19+прочие..!R23</f>
        <v>979345.30999999994</v>
      </c>
      <c r="S1" s="158">
        <f>'образование+молодежка'!S19+культура!S22+'физ-ра'!S19+прочие..!S23</f>
        <v>1704724.49</v>
      </c>
      <c r="T1" s="158">
        <f>'образование+молодежка'!T19+культура!T22+'физ-ра'!T19+прочие..!T23</f>
        <v>1803625.7400000002</v>
      </c>
      <c r="U1" s="158">
        <f>'образование+молодежка'!U19+культура!U22+'физ-ра'!U19+прочие..!U23</f>
        <v>1233386.3699999999</v>
      </c>
      <c r="V1" s="158">
        <f>'образование+молодежка'!V19+культура!V22+'физ-ра'!V19+прочие..!V23</f>
        <v>72566.22</v>
      </c>
      <c r="W1" s="158">
        <f>'образование+молодежка'!W19+культура!W22+'физ-ра'!W19+прочие..!W23</f>
        <v>83578.489999999991</v>
      </c>
      <c r="X1" s="158">
        <f>'образование+молодежка'!X19+культура!X22+'физ-ра'!X19+прочие..!X23</f>
        <v>54682.289999999994</v>
      </c>
    </row>
    <row r="2" spans="2:24" ht="38.25">
      <c r="R2" s="718" t="s">
        <v>45</v>
      </c>
      <c r="S2" s="718"/>
      <c r="T2" s="718"/>
      <c r="U2" s="718"/>
      <c r="V2" s="718"/>
      <c r="W2" s="718"/>
      <c r="X2" s="718"/>
    </row>
    <row r="3" spans="2:24" ht="30" customHeight="1">
      <c r="R3" s="65"/>
      <c r="S3" s="13"/>
      <c r="T3" s="13"/>
      <c r="U3" s="12"/>
      <c r="V3" s="12"/>
      <c r="W3" s="12"/>
    </row>
    <row r="4" spans="2:24" ht="23.25">
      <c r="B4" s="14"/>
      <c r="F4" s="15"/>
      <c r="R4" s="724" t="s">
        <v>75</v>
      </c>
      <c r="S4" s="724"/>
      <c r="T4" s="724"/>
      <c r="U4" s="724"/>
      <c r="V4" s="724"/>
      <c r="W4" s="724"/>
      <c r="X4" s="724"/>
    </row>
    <row r="5" spans="2:24" ht="23.25" customHeight="1">
      <c r="B5" s="14"/>
      <c r="F5" s="15"/>
      <c r="R5" s="725" t="s">
        <v>80</v>
      </c>
      <c r="S5" s="724"/>
      <c r="T5" s="724"/>
      <c r="U5" s="724"/>
      <c r="V5" s="724"/>
      <c r="W5" s="724"/>
      <c r="X5" s="724"/>
    </row>
    <row r="6" spans="2:24" ht="23.25" customHeight="1">
      <c r="B6" s="14"/>
      <c r="F6" s="15"/>
      <c r="R6" s="725" t="s">
        <v>81</v>
      </c>
      <c r="S6" s="725"/>
      <c r="T6" s="725"/>
      <c r="U6" s="725"/>
      <c r="V6" s="725"/>
      <c r="W6" s="725"/>
      <c r="X6" s="725"/>
    </row>
    <row r="7" spans="2:24" ht="23.25" customHeight="1">
      <c r="B7" s="14"/>
      <c r="F7" s="15"/>
      <c r="R7" s="725" t="s">
        <v>82</v>
      </c>
      <c r="S7" s="725"/>
      <c r="T7" s="725"/>
      <c r="U7" s="725"/>
      <c r="V7" s="725"/>
      <c r="W7" s="725"/>
      <c r="X7" s="725"/>
    </row>
    <row r="8" spans="2:24" ht="23.25" customHeight="1">
      <c r="B8" s="14"/>
      <c r="F8" s="15"/>
      <c r="R8" s="725" t="s">
        <v>78</v>
      </c>
      <c r="S8" s="725"/>
      <c r="T8" s="725"/>
      <c r="U8" s="725"/>
      <c r="V8" s="725"/>
      <c r="W8" s="725"/>
      <c r="X8" s="725"/>
    </row>
    <row r="9" spans="2:24">
      <c r="B9" s="14"/>
      <c r="C9" s="16"/>
      <c r="M9" s="15"/>
      <c r="N9" s="15"/>
    </row>
    <row r="10" spans="2:24">
      <c r="B10" s="14"/>
      <c r="C10" s="16"/>
      <c r="M10" s="15"/>
      <c r="N10" s="15"/>
    </row>
    <row r="11" spans="2:24" ht="38.25">
      <c r="B11" s="718" t="s">
        <v>41</v>
      </c>
      <c r="C11" s="718"/>
      <c r="D11" s="718"/>
      <c r="E11" s="718"/>
      <c r="F11" s="718"/>
      <c r="G11" s="718"/>
      <c r="H11" s="718"/>
      <c r="I11" s="718"/>
      <c r="J11" s="718"/>
      <c r="K11" s="718"/>
      <c r="L11" s="718"/>
      <c r="M11" s="718"/>
      <c r="N11" s="718"/>
      <c r="O11" s="718"/>
      <c r="P11" s="718"/>
      <c r="Q11" s="718"/>
      <c r="R11" s="718"/>
      <c r="S11" s="718"/>
      <c r="T11" s="718"/>
      <c r="U11" s="718"/>
      <c r="V11" s="718"/>
      <c r="W11" s="718"/>
      <c r="X11" s="718"/>
    </row>
    <row r="12" spans="2:24" ht="38.25">
      <c r="B12" s="718" t="s">
        <v>86</v>
      </c>
      <c r="C12" s="718"/>
      <c r="D12" s="718"/>
      <c r="E12" s="718"/>
      <c r="F12" s="718"/>
      <c r="G12" s="718"/>
      <c r="H12" s="718"/>
      <c r="I12" s="718"/>
      <c r="J12" s="718"/>
      <c r="K12" s="718"/>
      <c r="L12" s="718"/>
      <c r="M12" s="718"/>
      <c r="N12" s="718"/>
      <c r="O12" s="718"/>
      <c r="P12" s="718"/>
      <c r="Q12" s="718"/>
      <c r="R12" s="718"/>
      <c r="S12" s="718"/>
      <c r="T12" s="718"/>
      <c r="U12" s="718"/>
      <c r="V12" s="718"/>
      <c r="W12" s="718"/>
      <c r="X12" s="718"/>
    </row>
    <row r="13" spans="2:24" ht="38.25">
      <c r="B13" s="718" t="s">
        <v>90</v>
      </c>
      <c r="C13" s="718"/>
      <c r="D13" s="718"/>
      <c r="E13" s="718"/>
      <c r="F13" s="718"/>
      <c r="G13" s="718"/>
      <c r="H13" s="718"/>
      <c r="I13" s="718"/>
      <c r="J13" s="718"/>
      <c r="K13" s="718"/>
      <c r="L13" s="718"/>
      <c r="M13" s="718"/>
      <c r="N13" s="718"/>
      <c r="O13" s="718"/>
      <c r="P13" s="718"/>
      <c r="Q13" s="718"/>
      <c r="R13" s="718"/>
      <c r="S13" s="718"/>
      <c r="T13" s="718"/>
      <c r="U13" s="718"/>
      <c r="V13" s="718"/>
      <c r="W13" s="718"/>
      <c r="X13" s="718"/>
    </row>
    <row r="14" spans="2:24" ht="38.25">
      <c r="B14" s="17"/>
      <c r="C14" s="17"/>
      <c r="D14" s="17"/>
      <c r="E14" s="17"/>
      <c r="F14" s="17"/>
      <c r="G14" s="17"/>
      <c r="H14" s="17"/>
      <c r="I14" s="17"/>
      <c r="J14" s="65"/>
      <c r="K14" s="65"/>
      <c r="L14" s="718" t="s">
        <v>91</v>
      </c>
      <c r="M14" s="718"/>
      <c r="N14" s="718"/>
      <c r="O14" s="718"/>
      <c r="P14" s="718"/>
      <c r="Q14" s="718"/>
      <c r="R14" s="718"/>
      <c r="S14" s="718"/>
      <c r="T14" s="718"/>
      <c r="U14" s="718"/>
      <c r="V14" s="17"/>
      <c r="W14" s="17"/>
      <c r="X14" s="17"/>
    </row>
    <row r="15" spans="2:24" ht="25.5">
      <c r="B15" s="692" t="s">
        <v>126</v>
      </c>
      <c r="C15" s="693"/>
      <c r="D15" s="693"/>
      <c r="E15" s="693"/>
      <c r="F15" s="693"/>
      <c r="G15" s="693"/>
      <c r="H15" s="693"/>
      <c r="I15" s="693"/>
      <c r="J15" s="693"/>
      <c r="K15" s="693"/>
      <c r="L15" s="693"/>
      <c r="M15" s="693"/>
      <c r="N15" s="693"/>
      <c r="O15" s="693"/>
      <c r="P15" s="693"/>
      <c r="Q15" s="693"/>
      <c r="R15" s="693"/>
      <c r="S15" s="693"/>
      <c r="T15" s="693"/>
      <c r="U15" s="693"/>
      <c r="V15" s="693"/>
      <c r="W15" s="693"/>
      <c r="X15" s="693"/>
    </row>
    <row r="16" spans="2:24" ht="35.25" customHeight="1">
      <c r="B16" s="692" t="s">
        <v>98</v>
      </c>
      <c r="C16" s="662"/>
      <c r="D16" s="662"/>
      <c r="E16" s="662"/>
      <c r="F16" s="662"/>
      <c r="G16" s="662"/>
      <c r="H16" s="662"/>
      <c r="I16" s="662"/>
      <c r="J16" s="662"/>
      <c r="K16" s="662"/>
      <c r="L16" s="662"/>
      <c r="M16" s="662"/>
      <c r="N16" s="662"/>
      <c r="O16" s="662"/>
      <c r="P16" s="662"/>
      <c r="Q16" s="662"/>
      <c r="R16" s="662"/>
      <c r="S16" s="662"/>
      <c r="T16" s="662"/>
      <c r="U16" s="662"/>
      <c r="V16" s="662"/>
      <c r="W16" s="662"/>
      <c r="X16" s="662"/>
    </row>
    <row r="17" spans="2:24" ht="14.25" customHeight="1">
      <c r="B17" s="662" t="s">
        <v>13</v>
      </c>
      <c r="C17" s="662"/>
      <c r="D17" s="662"/>
      <c r="E17" s="662"/>
      <c r="F17" s="662"/>
      <c r="G17" s="662"/>
      <c r="H17" s="662"/>
      <c r="I17" s="662"/>
      <c r="J17" s="662"/>
      <c r="K17" s="662"/>
      <c r="L17" s="662"/>
      <c r="M17" s="662"/>
      <c r="N17" s="662"/>
      <c r="O17" s="662"/>
      <c r="P17" s="662"/>
      <c r="Q17" s="662"/>
      <c r="R17" s="662"/>
      <c r="S17" s="662"/>
      <c r="T17" s="662"/>
      <c r="U17" s="662"/>
      <c r="V17" s="662"/>
      <c r="W17" s="662"/>
      <c r="X17" s="662"/>
    </row>
    <row r="18" spans="2:24" ht="31.5" customHeight="1" thickBot="1">
      <c r="B18" s="14"/>
      <c r="D18" s="8">
        <f>D23-D27</f>
        <v>0</v>
      </c>
      <c r="E18" s="8">
        <f t="shared" ref="E18:X18" si="0">E23-E27</f>
        <v>0</v>
      </c>
      <c r="F18" s="8">
        <f t="shared" si="0"/>
        <v>0</v>
      </c>
      <c r="G18" s="8">
        <f t="shared" si="0"/>
        <v>0</v>
      </c>
      <c r="H18" s="8">
        <f t="shared" si="0"/>
        <v>0</v>
      </c>
      <c r="I18" s="8">
        <f t="shared" si="0"/>
        <v>0</v>
      </c>
      <c r="J18" s="8">
        <f t="shared" si="0"/>
        <v>0</v>
      </c>
      <c r="K18" s="8">
        <f t="shared" si="0"/>
        <v>0</v>
      </c>
      <c r="L18" s="8">
        <f t="shared" si="0"/>
        <v>0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8">
        <f t="shared" si="0"/>
        <v>0</v>
      </c>
      <c r="U18" s="8">
        <f t="shared" si="0"/>
        <v>0</v>
      </c>
      <c r="V18" s="8">
        <f t="shared" si="0"/>
        <v>0</v>
      </c>
      <c r="W18" s="8">
        <f t="shared" si="0"/>
        <v>0</v>
      </c>
      <c r="X18" s="8">
        <f t="shared" si="0"/>
        <v>0</v>
      </c>
    </row>
    <row r="19" spans="2:24" ht="12.75" customHeight="1">
      <c r="B19" s="780"/>
      <c r="C19" s="727" t="s">
        <v>30</v>
      </c>
      <c r="D19" s="720" t="s">
        <v>38</v>
      </c>
      <c r="E19" s="721"/>
      <c r="F19" s="720" t="s">
        <v>39</v>
      </c>
      <c r="G19" s="721"/>
      <c r="H19" s="720" t="s">
        <v>37</v>
      </c>
      <c r="I19" s="721"/>
      <c r="J19" s="720" t="s">
        <v>50</v>
      </c>
      <c r="K19" s="721"/>
      <c r="L19" s="730"/>
      <c r="M19" s="720" t="s">
        <v>36</v>
      </c>
      <c r="N19" s="721"/>
      <c r="O19" s="730"/>
      <c r="P19" s="727" t="s">
        <v>32</v>
      </c>
      <c r="Q19" s="727"/>
      <c r="R19" s="727"/>
      <c r="S19" s="727"/>
      <c r="T19" s="727"/>
      <c r="U19" s="727"/>
      <c r="V19" s="727"/>
      <c r="W19" s="728"/>
      <c r="X19" s="729"/>
    </row>
    <row r="20" spans="2:24" ht="50.25" customHeight="1">
      <c r="B20" s="781"/>
      <c r="C20" s="719"/>
      <c r="D20" s="722"/>
      <c r="E20" s="723"/>
      <c r="F20" s="722"/>
      <c r="G20" s="723"/>
      <c r="H20" s="722"/>
      <c r="I20" s="723"/>
      <c r="J20" s="731"/>
      <c r="K20" s="732"/>
      <c r="L20" s="733"/>
      <c r="M20" s="731"/>
      <c r="N20" s="732"/>
      <c r="O20" s="733"/>
      <c r="P20" s="719" t="s">
        <v>53</v>
      </c>
      <c r="Q20" s="719"/>
      <c r="R20" s="719"/>
      <c r="S20" s="719" t="s">
        <v>54</v>
      </c>
      <c r="T20" s="719"/>
      <c r="U20" s="719"/>
      <c r="V20" s="719" t="s">
        <v>33</v>
      </c>
      <c r="W20" s="719"/>
      <c r="X20" s="734"/>
    </row>
    <row r="21" spans="2:24" ht="69.75" customHeight="1" thickBot="1">
      <c r="B21" s="782"/>
      <c r="C21" s="739"/>
      <c r="D21" s="224" t="s">
        <v>49</v>
      </c>
      <c r="E21" s="224" t="s">
        <v>14</v>
      </c>
      <c r="F21" s="224" t="s">
        <v>49</v>
      </c>
      <c r="G21" s="224" t="s">
        <v>14</v>
      </c>
      <c r="H21" s="224" t="s">
        <v>49</v>
      </c>
      <c r="I21" s="224" t="s">
        <v>14</v>
      </c>
      <c r="J21" s="224" t="s">
        <v>48</v>
      </c>
      <c r="K21" s="224" t="s">
        <v>19</v>
      </c>
      <c r="L21" s="224" t="s">
        <v>31</v>
      </c>
      <c r="M21" s="224" t="s">
        <v>48</v>
      </c>
      <c r="N21" s="224" t="s">
        <v>19</v>
      </c>
      <c r="O21" s="224" t="s">
        <v>31</v>
      </c>
      <c r="P21" s="224" t="s">
        <v>48</v>
      </c>
      <c r="Q21" s="224" t="s">
        <v>19</v>
      </c>
      <c r="R21" s="224" t="s">
        <v>31</v>
      </c>
      <c r="S21" s="224" t="s">
        <v>48</v>
      </c>
      <c r="T21" s="224" t="s">
        <v>19</v>
      </c>
      <c r="U21" s="224" t="s">
        <v>31</v>
      </c>
      <c r="V21" s="224" t="s">
        <v>48</v>
      </c>
      <c r="W21" s="224" t="s">
        <v>19</v>
      </c>
      <c r="X21" s="18" t="s">
        <v>31</v>
      </c>
    </row>
    <row r="22" spans="2:24" ht="13.5" thickBot="1">
      <c r="B22" s="11">
        <v>1</v>
      </c>
      <c r="C22" s="19">
        <v>2</v>
      </c>
      <c r="D22" s="19">
        <v>3</v>
      </c>
      <c r="E22" s="20">
        <v>4</v>
      </c>
      <c r="F22" s="19">
        <v>5</v>
      </c>
      <c r="G22" s="19">
        <v>6</v>
      </c>
      <c r="H22" s="20">
        <v>7</v>
      </c>
      <c r="I22" s="19">
        <v>8</v>
      </c>
      <c r="J22" s="19">
        <v>9</v>
      </c>
      <c r="K22" s="20">
        <v>10</v>
      </c>
      <c r="L22" s="19">
        <v>11</v>
      </c>
      <c r="M22" s="19">
        <v>12</v>
      </c>
      <c r="N22" s="20">
        <v>13</v>
      </c>
      <c r="O22" s="19">
        <v>14</v>
      </c>
      <c r="P22" s="19">
        <v>15</v>
      </c>
      <c r="Q22" s="20">
        <v>16</v>
      </c>
      <c r="R22" s="19">
        <v>17</v>
      </c>
      <c r="S22" s="19">
        <v>18</v>
      </c>
      <c r="T22" s="20">
        <v>19</v>
      </c>
      <c r="U22" s="19">
        <v>20</v>
      </c>
      <c r="V22" s="19">
        <v>21</v>
      </c>
      <c r="W22" s="20">
        <v>22</v>
      </c>
      <c r="X22" s="21">
        <v>23</v>
      </c>
    </row>
    <row r="23" spans="2:24" ht="38.25">
      <c r="B23" s="10" t="s">
        <v>1</v>
      </c>
      <c r="C23" s="22" t="s">
        <v>3</v>
      </c>
      <c r="D23" s="226">
        <f>D24+D25+D26</f>
        <v>548.5</v>
      </c>
      <c r="E23" s="417">
        <f t="shared" ref="E23:X23" si="1">E24+E25+E26</f>
        <v>586</v>
      </c>
      <c r="F23" s="417">
        <f t="shared" si="1"/>
        <v>488.5</v>
      </c>
      <c r="G23" s="417">
        <f t="shared" si="1"/>
        <v>494</v>
      </c>
      <c r="H23" s="417">
        <f t="shared" si="1"/>
        <v>485.5</v>
      </c>
      <c r="I23" s="417">
        <f t="shared" si="1"/>
        <v>503.7</v>
      </c>
      <c r="J23" s="226">
        <f t="shared" si="1"/>
        <v>334005.19</v>
      </c>
      <c r="K23" s="226">
        <f t="shared" si="1"/>
        <v>385157.97</v>
      </c>
      <c r="L23" s="226">
        <f t="shared" si="1"/>
        <v>260600.78999999998</v>
      </c>
      <c r="M23" s="226">
        <f t="shared" si="1"/>
        <v>177590.45299999998</v>
      </c>
      <c r="N23" s="226">
        <f t="shared" si="1"/>
        <v>189893.77</v>
      </c>
      <c r="O23" s="226">
        <f>O24+O25+O26</f>
        <v>126056.75</v>
      </c>
      <c r="P23" s="226">
        <f t="shared" si="1"/>
        <v>176487.48299999998</v>
      </c>
      <c r="Q23" s="226">
        <f t="shared" si="1"/>
        <v>187239.77000000002</v>
      </c>
      <c r="R23" s="226">
        <f t="shared" si="1"/>
        <v>124452.41</v>
      </c>
      <c r="S23" s="226">
        <f t="shared" si="1"/>
        <v>0</v>
      </c>
      <c r="T23" s="226">
        <f t="shared" si="1"/>
        <v>0</v>
      </c>
      <c r="U23" s="226">
        <f t="shared" si="1"/>
        <v>0</v>
      </c>
      <c r="V23" s="226">
        <f t="shared" si="1"/>
        <v>1102.97</v>
      </c>
      <c r="W23" s="226">
        <f t="shared" si="1"/>
        <v>2654</v>
      </c>
      <c r="X23" s="226">
        <f t="shared" si="1"/>
        <v>1604.3400000000001</v>
      </c>
    </row>
    <row r="24" spans="2:24" ht="40.5" customHeight="1">
      <c r="B24" s="23" t="s">
        <v>20</v>
      </c>
      <c r="C24" s="9" t="s">
        <v>16</v>
      </c>
      <c r="D24" s="418">
        <f t="shared" ref="D24:X24" si="2">D53+D68+D98+D82</f>
        <v>410</v>
      </c>
      <c r="E24" s="418">
        <f t="shared" si="2"/>
        <v>454</v>
      </c>
      <c r="F24" s="418">
        <f t="shared" si="2"/>
        <v>385</v>
      </c>
      <c r="G24" s="418">
        <f t="shared" si="2"/>
        <v>394</v>
      </c>
      <c r="H24" s="418">
        <f t="shared" si="2"/>
        <v>370</v>
      </c>
      <c r="I24" s="418">
        <f t="shared" si="2"/>
        <v>400.7</v>
      </c>
      <c r="J24" s="418">
        <f t="shared" si="2"/>
        <v>235886.78</v>
      </c>
      <c r="K24" s="418">
        <f t="shared" si="2"/>
        <v>251150.52</v>
      </c>
      <c r="L24" s="418">
        <f t="shared" si="2"/>
        <v>161678.63999999998</v>
      </c>
      <c r="M24" s="418">
        <f t="shared" si="2"/>
        <v>132821.57299999997</v>
      </c>
      <c r="N24" s="418">
        <f t="shared" si="2"/>
        <v>140036.06</v>
      </c>
      <c r="O24" s="418">
        <f t="shared" si="2"/>
        <v>93123.17</v>
      </c>
      <c r="P24" s="418">
        <f t="shared" si="2"/>
        <v>132821.57299999997</v>
      </c>
      <c r="Q24" s="418">
        <f t="shared" si="2"/>
        <v>140036.06</v>
      </c>
      <c r="R24" s="418">
        <f t="shared" si="2"/>
        <v>93123.17</v>
      </c>
      <c r="S24" s="418">
        <f t="shared" si="2"/>
        <v>0</v>
      </c>
      <c r="T24" s="418">
        <f t="shared" si="2"/>
        <v>0</v>
      </c>
      <c r="U24" s="418">
        <f t="shared" si="2"/>
        <v>0</v>
      </c>
      <c r="V24" s="418">
        <f t="shared" si="2"/>
        <v>0</v>
      </c>
      <c r="W24" s="418">
        <f t="shared" si="2"/>
        <v>0</v>
      </c>
      <c r="X24" s="418">
        <f t="shared" si="2"/>
        <v>0</v>
      </c>
    </row>
    <row r="25" spans="2:24" ht="40.5" customHeight="1">
      <c r="B25" s="23" t="s">
        <v>21</v>
      </c>
      <c r="C25" s="9" t="s">
        <v>17</v>
      </c>
      <c r="D25" s="418">
        <f t="shared" ref="D25:X25" si="3">D54+D69+D99+D83</f>
        <v>138.5</v>
      </c>
      <c r="E25" s="418">
        <f t="shared" si="3"/>
        <v>132</v>
      </c>
      <c r="F25" s="418">
        <f t="shared" si="3"/>
        <v>103.5</v>
      </c>
      <c r="G25" s="418">
        <f t="shared" si="3"/>
        <v>100</v>
      </c>
      <c r="H25" s="418">
        <f t="shared" si="3"/>
        <v>115.5</v>
      </c>
      <c r="I25" s="418">
        <f t="shared" si="3"/>
        <v>103</v>
      </c>
      <c r="J25" s="418">
        <f t="shared" si="3"/>
        <v>98118.41</v>
      </c>
      <c r="K25" s="418">
        <f t="shared" si="3"/>
        <v>134007.44999999998</v>
      </c>
      <c r="L25" s="418">
        <f t="shared" si="3"/>
        <v>98922.15</v>
      </c>
      <c r="M25" s="418">
        <f t="shared" si="3"/>
        <v>44768.88</v>
      </c>
      <c r="N25" s="418">
        <f t="shared" si="3"/>
        <v>49857.71</v>
      </c>
      <c r="O25" s="418">
        <f t="shared" si="3"/>
        <v>32933.579999999994</v>
      </c>
      <c r="P25" s="418">
        <f t="shared" si="3"/>
        <v>43665.91</v>
      </c>
      <c r="Q25" s="418">
        <f t="shared" si="3"/>
        <v>47203.710000000006</v>
      </c>
      <c r="R25" s="418">
        <f t="shared" si="3"/>
        <v>31329.239999999998</v>
      </c>
      <c r="S25" s="418">
        <f t="shared" si="3"/>
        <v>0</v>
      </c>
      <c r="T25" s="418">
        <f t="shared" si="3"/>
        <v>0</v>
      </c>
      <c r="U25" s="418">
        <f t="shared" si="3"/>
        <v>0</v>
      </c>
      <c r="V25" s="418">
        <f t="shared" si="3"/>
        <v>1102.97</v>
      </c>
      <c r="W25" s="418">
        <f t="shared" si="3"/>
        <v>2654</v>
      </c>
      <c r="X25" s="418">
        <f t="shared" si="3"/>
        <v>1604.3400000000001</v>
      </c>
    </row>
    <row r="26" spans="2:24" ht="40.5" customHeight="1">
      <c r="B26" s="23" t="s">
        <v>22</v>
      </c>
      <c r="C26" s="9" t="s">
        <v>18</v>
      </c>
      <c r="D26" s="418">
        <f t="shared" ref="D26:X26" si="4">D55+D70+D100+D84</f>
        <v>0</v>
      </c>
      <c r="E26" s="418">
        <f t="shared" si="4"/>
        <v>0</v>
      </c>
      <c r="F26" s="418">
        <f t="shared" si="4"/>
        <v>0</v>
      </c>
      <c r="G26" s="418">
        <f t="shared" si="4"/>
        <v>0</v>
      </c>
      <c r="H26" s="418">
        <f t="shared" si="4"/>
        <v>0</v>
      </c>
      <c r="I26" s="418">
        <f t="shared" si="4"/>
        <v>0</v>
      </c>
      <c r="J26" s="418">
        <f t="shared" si="4"/>
        <v>0</v>
      </c>
      <c r="K26" s="418">
        <f t="shared" si="4"/>
        <v>0</v>
      </c>
      <c r="L26" s="418">
        <f t="shared" si="4"/>
        <v>0</v>
      </c>
      <c r="M26" s="418">
        <f t="shared" si="4"/>
        <v>0</v>
      </c>
      <c r="N26" s="418">
        <f t="shared" si="4"/>
        <v>0</v>
      </c>
      <c r="O26" s="418">
        <f t="shared" si="4"/>
        <v>0</v>
      </c>
      <c r="P26" s="418">
        <f t="shared" si="4"/>
        <v>0</v>
      </c>
      <c r="Q26" s="418">
        <f t="shared" si="4"/>
        <v>0</v>
      </c>
      <c r="R26" s="418">
        <f t="shared" si="4"/>
        <v>0</v>
      </c>
      <c r="S26" s="418">
        <f t="shared" si="4"/>
        <v>0</v>
      </c>
      <c r="T26" s="418">
        <f t="shared" si="4"/>
        <v>0</v>
      </c>
      <c r="U26" s="418">
        <f t="shared" si="4"/>
        <v>0</v>
      </c>
      <c r="V26" s="418">
        <f t="shared" si="4"/>
        <v>0</v>
      </c>
      <c r="W26" s="418">
        <f t="shared" si="4"/>
        <v>0</v>
      </c>
      <c r="X26" s="418">
        <f t="shared" si="4"/>
        <v>0</v>
      </c>
    </row>
    <row r="27" spans="2:24" ht="40.5" customHeight="1">
      <c r="B27" s="23" t="s">
        <v>23</v>
      </c>
      <c r="C27" s="24" t="s">
        <v>34</v>
      </c>
      <c r="D27" s="419">
        <f>D28+D29+D30+D31+D32+D33+D34+D35</f>
        <v>548.5</v>
      </c>
      <c r="E27" s="419">
        <f t="shared" ref="E27:X27" si="5">E28+E29+E30+E31+E32+E33+E34+E35</f>
        <v>586</v>
      </c>
      <c r="F27" s="419">
        <f t="shared" si="5"/>
        <v>488.5</v>
      </c>
      <c r="G27" s="419">
        <f t="shared" si="5"/>
        <v>494</v>
      </c>
      <c r="H27" s="419">
        <f t="shared" si="5"/>
        <v>485.5</v>
      </c>
      <c r="I27" s="419">
        <f t="shared" si="5"/>
        <v>503.7</v>
      </c>
      <c r="J27" s="419">
        <f t="shared" si="5"/>
        <v>334005.19</v>
      </c>
      <c r="K27" s="419">
        <f t="shared" si="5"/>
        <v>385157.97</v>
      </c>
      <c r="L27" s="419">
        <f t="shared" si="5"/>
        <v>260600.79</v>
      </c>
      <c r="M27" s="419">
        <f t="shared" si="5"/>
        <v>177590.45300000001</v>
      </c>
      <c r="N27" s="419">
        <f t="shared" si="5"/>
        <v>189893.77</v>
      </c>
      <c r="O27" s="419">
        <f t="shared" si="5"/>
        <v>126056.75</v>
      </c>
      <c r="P27" s="419">
        <f t="shared" si="5"/>
        <v>176487.48300000001</v>
      </c>
      <c r="Q27" s="419">
        <f t="shared" si="5"/>
        <v>187239.77</v>
      </c>
      <c r="R27" s="419">
        <f t="shared" si="5"/>
        <v>124452.41000000002</v>
      </c>
      <c r="S27" s="419">
        <f t="shared" si="5"/>
        <v>0</v>
      </c>
      <c r="T27" s="419">
        <f t="shared" si="5"/>
        <v>0</v>
      </c>
      <c r="U27" s="419">
        <f t="shared" si="5"/>
        <v>0</v>
      </c>
      <c r="V27" s="419">
        <f t="shared" si="5"/>
        <v>1102.97</v>
      </c>
      <c r="W27" s="419">
        <f t="shared" si="5"/>
        <v>2654</v>
      </c>
      <c r="X27" s="419">
        <f t="shared" si="5"/>
        <v>1604.3400000000001</v>
      </c>
    </row>
    <row r="28" spans="2:24" ht="21" customHeight="1">
      <c r="B28" s="23" t="s">
        <v>24</v>
      </c>
      <c r="C28" s="25" t="s">
        <v>92</v>
      </c>
      <c r="D28" s="420">
        <f>D57</f>
        <v>217</v>
      </c>
      <c r="E28" s="420">
        <f t="shared" ref="E28:X28" si="6">E57</f>
        <v>212</v>
      </c>
      <c r="F28" s="420">
        <f t="shared" si="6"/>
        <v>200</v>
      </c>
      <c r="G28" s="420">
        <f t="shared" si="6"/>
        <v>173</v>
      </c>
      <c r="H28" s="420">
        <f t="shared" si="6"/>
        <v>189</v>
      </c>
      <c r="I28" s="420">
        <f t="shared" si="6"/>
        <v>188</v>
      </c>
      <c r="J28" s="418">
        <f t="shared" si="6"/>
        <v>99558.56</v>
      </c>
      <c r="K28" s="418">
        <f t="shared" si="6"/>
        <v>99509.06</v>
      </c>
      <c r="L28" s="418">
        <f t="shared" si="6"/>
        <v>63176.08</v>
      </c>
      <c r="M28" s="418">
        <f t="shared" si="6"/>
        <v>59933.38</v>
      </c>
      <c r="N28" s="418">
        <f t="shared" si="6"/>
        <v>59933.38</v>
      </c>
      <c r="O28" s="418">
        <f t="shared" si="6"/>
        <v>39608.21</v>
      </c>
      <c r="P28" s="418">
        <f t="shared" si="6"/>
        <v>59933.38</v>
      </c>
      <c r="Q28" s="418">
        <f t="shared" si="6"/>
        <v>59933.38</v>
      </c>
      <c r="R28" s="418">
        <f t="shared" si="6"/>
        <v>39608.21</v>
      </c>
      <c r="S28" s="418">
        <f t="shared" si="6"/>
        <v>0</v>
      </c>
      <c r="T28" s="418">
        <f t="shared" si="6"/>
        <v>0</v>
      </c>
      <c r="U28" s="418">
        <f t="shared" si="6"/>
        <v>0</v>
      </c>
      <c r="V28" s="418">
        <f t="shared" si="6"/>
        <v>0</v>
      </c>
      <c r="W28" s="418">
        <f t="shared" si="6"/>
        <v>0</v>
      </c>
      <c r="X28" s="418">
        <f t="shared" si="6"/>
        <v>0</v>
      </c>
    </row>
    <row r="29" spans="2:24" ht="21" customHeight="1">
      <c r="B29" s="23" t="s">
        <v>94</v>
      </c>
      <c r="C29" s="25" t="s">
        <v>93</v>
      </c>
      <c r="D29" s="420">
        <f>D58</f>
        <v>47</v>
      </c>
      <c r="E29" s="420">
        <f t="shared" ref="E29:X29" si="7">E58</f>
        <v>45</v>
      </c>
      <c r="F29" s="420">
        <f t="shared" si="7"/>
        <v>41</v>
      </c>
      <c r="G29" s="420">
        <f t="shared" si="7"/>
        <v>39</v>
      </c>
      <c r="H29" s="420">
        <f t="shared" si="7"/>
        <v>41</v>
      </c>
      <c r="I29" s="420">
        <f t="shared" si="7"/>
        <v>39.700000000000003</v>
      </c>
      <c r="J29" s="418">
        <f t="shared" si="7"/>
        <v>36381.730000000003</v>
      </c>
      <c r="K29" s="418">
        <f t="shared" si="7"/>
        <v>36609.26</v>
      </c>
      <c r="L29" s="418">
        <f t="shared" si="7"/>
        <v>24193.919999999998</v>
      </c>
      <c r="M29" s="418">
        <f t="shared" si="7"/>
        <v>11703.58</v>
      </c>
      <c r="N29" s="418">
        <f t="shared" si="7"/>
        <v>11749.36</v>
      </c>
      <c r="O29" s="418">
        <f t="shared" si="7"/>
        <v>8136.29</v>
      </c>
      <c r="P29" s="418">
        <f t="shared" si="7"/>
        <v>11703.58</v>
      </c>
      <c r="Q29" s="418">
        <f t="shared" si="7"/>
        <v>11749.36</v>
      </c>
      <c r="R29" s="418">
        <f t="shared" si="7"/>
        <v>8136.29</v>
      </c>
      <c r="S29" s="418">
        <f t="shared" si="7"/>
        <v>0</v>
      </c>
      <c r="T29" s="418">
        <f t="shared" si="7"/>
        <v>0</v>
      </c>
      <c r="U29" s="418">
        <f t="shared" si="7"/>
        <v>0</v>
      </c>
      <c r="V29" s="418">
        <f t="shared" si="7"/>
        <v>0</v>
      </c>
      <c r="W29" s="418">
        <f t="shared" si="7"/>
        <v>0</v>
      </c>
      <c r="X29" s="418">
        <f t="shared" si="7"/>
        <v>0</v>
      </c>
    </row>
    <row r="30" spans="2:24" ht="21" customHeight="1">
      <c r="B30" s="23" t="s">
        <v>111</v>
      </c>
      <c r="C30" s="9" t="s">
        <v>105</v>
      </c>
      <c r="D30" s="418">
        <f>D72</f>
        <v>70</v>
      </c>
      <c r="E30" s="418">
        <f t="shared" ref="E30:X30" si="8">E72</f>
        <v>72</v>
      </c>
      <c r="F30" s="418">
        <f t="shared" si="8"/>
        <v>53</v>
      </c>
      <c r="G30" s="418">
        <f t="shared" si="8"/>
        <v>60</v>
      </c>
      <c r="H30" s="418">
        <f t="shared" si="8"/>
        <v>53</v>
      </c>
      <c r="I30" s="418">
        <f t="shared" si="8"/>
        <v>55</v>
      </c>
      <c r="J30" s="418">
        <f t="shared" si="8"/>
        <v>62911.7</v>
      </c>
      <c r="K30" s="418">
        <f t="shared" si="8"/>
        <v>92845.34</v>
      </c>
      <c r="L30" s="418">
        <f t="shared" si="8"/>
        <v>74417.37</v>
      </c>
      <c r="M30" s="418">
        <f t="shared" si="8"/>
        <v>26990.35</v>
      </c>
      <c r="N30" s="418">
        <f t="shared" si="8"/>
        <v>30081.75</v>
      </c>
      <c r="O30" s="418">
        <f t="shared" si="8"/>
        <v>19067.62</v>
      </c>
      <c r="P30" s="418">
        <f t="shared" si="8"/>
        <v>25990.35</v>
      </c>
      <c r="Q30" s="418">
        <f t="shared" si="8"/>
        <v>27581.75</v>
      </c>
      <c r="R30" s="418">
        <f t="shared" si="8"/>
        <v>17605.689999999999</v>
      </c>
      <c r="S30" s="418">
        <f t="shared" si="8"/>
        <v>0</v>
      </c>
      <c r="T30" s="418">
        <f t="shared" si="8"/>
        <v>0</v>
      </c>
      <c r="U30" s="418">
        <f t="shared" si="8"/>
        <v>0</v>
      </c>
      <c r="V30" s="418">
        <f t="shared" si="8"/>
        <v>1000</v>
      </c>
      <c r="W30" s="418">
        <f t="shared" si="8"/>
        <v>2500</v>
      </c>
      <c r="X30" s="418">
        <f t="shared" si="8"/>
        <v>1461.93</v>
      </c>
    </row>
    <row r="31" spans="2:24" ht="51" customHeight="1">
      <c r="B31" s="23" t="s">
        <v>112</v>
      </c>
      <c r="C31" s="9" t="s">
        <v>96</v>
      </c>
      <c r="D31" s="418">
        <f>D73</f>
        <v>8.5</v>
      </c>
      <c r="E31" s="418">
        <f t="shared" ref="E31:X31" si="9">E73</f>
        <v>0</v>
      </c>
      <c r="F31" s="418">
        <f t="shared" si="9"/>
        <v>6.5</v>
      </c>
      <c r="G31" s="418">
        <f t="shared" si="9"/>
        <v>0</v>
      </c>
      <c r="H31" s="418">
        <f t="shared" si="9"/>
        <v>6.5</v>
      </c>
      <c r="I31" s="418">
        <f t="shared" si="9"/>
        <v>5</v>
      </c>
      <c r="J31" s="418">
        <f t="shared" si="9"/>
        <v>1447.3899999999999</v>
      </c>
      <c r="K31" s="418">
        <f t="shared" si="9"/>
        <v>2422.48</v>
      </c>
      <c r="L31" s="418">
        <f t="shared" si="9"/>
        <v>2383.9299999999998</v>
      </c>
      <c r="M31" s="418">
        <f t="shared" si="9"/>
        <v>599.51</v>
      </c>
      <c r="N31" s="418">
        <f t="shared" si="9"/>
        <v>1524.76</v>
      </c>
      <c r="O31" s="418">
        <f t="shared" si="9"/>
        <v>1524.76</v>
      </c>
      <c r="P31" s="418">
        <f t="shared" si="9"/>
        <v>522.30999999999995</v>
      </c>
      <c r="Q31" s="418">
        <f t="shared" si="9"/>
        <v>1447.56</v>
      </c>
      <c r="R31" s="418">
        <f t="shared" si="9"/>
        <v>1447.56</v>
      </c>
      <c r="S31" s="418">
        <f t="shared" si="9"/>
        <v>0</v>
      </c>
      <c r="T31" s="418">
        <f t="shared" si="9"/>
        <v>0</v>
      </c>
      <c r="U31" s="418">
        <f t="shared" si="9"/>
        <v>0</v>
      </c>
      <c r="V31" s="418">
        <f t="shared" si="9"/>
        <v>77.2</v>
      </c>
      <c r="W31" s="418">
        <f t="shared" si="9"/>
        <v>77.2</v>
      </c>
      <c r="X31" s="418">
        <f t="shared" si="9"/>
        <v>77.2</v>
      </c>
    </row>
    <row r="32" spans="2:24" ht="51" customHeight="1">
      <c r="B32" s="23" t="s">
        <v>113</v>
      </c>
      <c r="C32" s="9" t="s">
        <v>97</v>
      </c>
      <c r="D32" s="421">
        <f>D74</f>
        <v>60</v>
      </c>
      <c r="E32" s="421">
        <f t="shared" ref="E32:X32" si="10">E74</f>
        <v>60</v>
      </c>
      <c r="F32" s="421">
        <f t="shared" si="10"/>
        <v>44</v>
      </c>
      <c r="G32" s="421">
        <f t="shared" si="10"/>
        <v>40</v>
      </c>
      <c r="H32" s="421">
        <f t="shared" si="10"/>
        <v>56</v>
      </c>
      <c r="I32" s="421">
        <f t="shared" si="10"/>
        <v>43</v>
      </c>
      <c r="J32" s="421">
        <f t="shared" si="10"/>
        <v>33759.32</v>
      </c>
      <c r="K32" s="421">
        <f t="shared" si="10"/>
        <v>38739.629999999997</v>
      </c>
      <c r="L32" s="421">
        <f t="shared" si="10"/>
        <v>22120.85</v>
      </c>
      <c r="M32" s="421">
        <f t="shared" si="10"/>
        <v>17179.02</v>
      </c>
      <c r="N32" s="421">
        <f t="shared" si="10"/>
        <v>18251.2</v>
      </c>
      <c r="O32" s="421">
        <f t="shared" si="10"/>
        <v>12341.199999999999</v>
      </c>
      <c r="P32" s="421">
        <f t="shared" si="10"/>
        <v>17153.25</v>
      </c>
      <c r="Q32" s="421">
        <f t="shared" si="10"/>
        <v>18174.400000000001</v>
      </c>
      <c r="R32" s="421">
        <f t="shared" si="10"/>
        <v>12275.99</v>
      </c>
      <c r="S32" s="421">
        <f t="shared" si="10"/>
        <v>0</v>
      </c>
      <c r="T32" s="421">
        <f t="shared" si="10"/>
        <v>0</v>
      </c>
      <c r="U32" s="421">
        <f t="shared" si="10"/>
        <v>0</v>
      </c>
      <c r="V32" s="421">
        <f t="shared" si="10"/>
        <v>25.77</v>
      </c>
      <c r="W32" s="421">
        <f t="shared" si="10"/>
        <v>76.8</v>
      </c>
      <c r="X32" s="421">
        <f t="shared" si="10"/>
        <v>65.209999999999994</v>
      </c>
    </row>
    <row r="33" spans="1:25" ht="25.5">
      <c r="B33" s="23" t="s">
        <v>114</v>
      </c>
      <c r="C33" s="9" t="s">
        <v>99</v>
      </c>
      <c r="D33" s="420">
        <f>D102</f>
        <v>63</v>
      </c>
      <c r="E33" s="420">
        <f t="shared" ref="E33:X33" si="11">E102</f>
        <v>80</v>
      </c>
      <c r="F33" s="420">
        <f t="shared" si="11"/>
        <v>61</v>
      </c>
      <c r="G33" s="420">
        <f t="shared" si="11"/>
        <v>77</v>
      </c>
      <c r="H33" s="420">
        <f t="shared" si="11"/>
        <v>62</v>
      </c>
      <c r="I33" s="420">
        <f t="shared" si="11"/>
        <v>72</v>
      </c>
      <c r="J33" s="418">
        <f t="shared" si="11"/>
        <v>36226.07</v>
      </c>
      <c r="K33" s="418">
        <f t="shared" si="11"/>
        <v>46390.09</v>
      </c>
      <c r="L33" s="418">
        <f t="shared" si="11"/>
        <v>29334.53</v>
      </c>
      <c r="M33" s="418">
        <f t="shared" si="11"/>
        <v>23707.26</v>
      </c>
      <c r="N33" s="418">
        <f t="shared" si="11"/>
        <v>29158.03</v>
      </c>
      <c r="O33" s="418">
        <f t="shared" si="11"/>
        <v>18957.66</v>
      </c>
      <c r="P33" s="418">
        <f t="shared" si="11"/>
        <v>23707.26</v>
      </c>
      <c r="Q33" s="418">
        <f t="shared" si="11"/>
        <v>29158.03</v>
      </c>
      <c r="R33" s="418">
        <f t="shared" si="11"/>
        <v>18957.66</v>
      </c>
      <c r="S33" s="418">
        <f t="shared" si="11"/>
        <v>0</v>
      </c>
      <c r="T33" s="418">
        <f t="shared" si="11"/>
        <v>0</v>
      </c>
      <c r="U33" s="418">
        <f t="shared" si="11"/>
        <v>0</v>
      </c>
      <c r="V33" s="418">
        <f t="shared" si="11"/>
        <v>0</v>
      </c>
      <c r="W33" s="418">
        <f t="shared" si="11"/>
        <v>0</v>
      </c>
      <c r="X33" s="418">
        <f t="shared" si="11"/>
        <v>0</v>
      </c>
    </row>
    <row r="34" spans="1:25" ht="25.5">
      <c r="B34" s="23" t="s">
        <v>115</v>
      </c>
      <c r="C34" s="9" t="s">
        <v>100</v>
      </c>
      <c r="D34" s="420">
        <f>D103</f>
        <v>83</v>
      </c>
      <c r="E34" s="420">
        <f t="shared" ref="E34:X34" si="12">E103</f>
        <v>85</v>
      </c>
      <c r="F34" s="420">
        <f t="shared" si="12"/>
        <v>83</v>
      </c>
      <c r="G34" s="420">
        <f t="shared" si="12"/>
        <v>82</v>
      </c>
      <c r="H34" s="420">
        <f t="shared" si="12"/>
        <v>78</v>
      </c>
      <c r="I34" s="420">
        <f t="shared" si="12"/>
        <v>78</v>
      </c>
      <c r="J34" s="418">
        <f t="shared" si="12"/>
        <v>46025.62</v>
      </c>
      <c r="K34" s="418">
        <f t="shared" si="12"/>
        <v>49283.59</v>
      </c>
      <c r="L34" s="418">
        <f t="shared" si="12"/>
        <v>31796.76</v>
      </c>
      <c r="M34" s="418">
        <f t="shared" si="12"/>
        <v>26404.44</v>
      </c>
      <c r="N34" s="418">
        <f t="shared" si="12"/>
        <v>26884.560000000001</v>
      </c>
      <c r="O34" s="418">
        <f t="shared" si="12"/>
        <v>17870.240000000002</v>
      </c>
      <c r="P34" s="418">
        <f t="shared" si="12"/>
        <v>26404.44</v>
      </c>
      <c r="Q34" s="418">
        <f t="shared" si="12"/>
        <v>26884.560000000001</v>
      </c>
      <c r="R34" s="418">
        <f t="shared" si="12"/>
        <v>17870.240000000002</v>
      </c>
      <c r="S34" s="418">
        <f t="shared" si="12"/>
        <v>0</v>
      </c>
      <c r="T34" s="418">
        <f t="shared" si="12"/>
        <v>0</v>
      </c>
      <c r="U34" s="418">
        <f t="shared" si="12"/>
        <v>0</v>
      </c>
      <c r="V34" s="418">
        <f t="shared" si="12"/>
        <v>0</v>
      </c>
      <c r="W34" s="418">
        <f t="shared" si="12"/>
        <v>0</v>
      </c>
      <c r="X34" s="418">
        <f t="shared" si="12"/>
        <v>0</v>
      </c>
    </row>
    <row r="35" spans="1:25" ht="25.5">
      <c r="B35" s="23" t="s">
        <v>122</v>
      </c>
      <c r="C35" s="9" t="s">
        <v>121</v>
      </c>
      <c r="D35" s="418">
        <f>D86</f>
        <v>0</v>
      </c>
      <c r="E35" s="418">
        <f t="shared" ref="E35:X35" si="13">E86</f>
        <v>32</v>
      </c>
      <c r="F35" s="418">
        <f t="shared" si="13"/>
        <v>0</v>
      </c>
      <c r="G35" s="418">
        <f t="shared" si="13"/>
        <v>23</v>
      </c>
      <c r="H35" s="418">
        <f t="shared" si="13"/>
        <v>0</v>
      </c>
      <c r="I35" s="418">
        <f t="shared" si="13"/>
        <v>23</v>
      </c>
      <c r="J35" s="418">
        <f t="shared" si="13"/>
        <v>17694.8</v>
      </c>
      <c r="K35" s="418">
        <f t="shared" si="13"/>
        <v>19358.52</v>
      </c>
      <c r="L35" s="418">
        <f t="shared" si="13"/>
        <v>13177.35</v>
      </c>
      <c r="M35" s="418">
        <f t="shared" si="13"/>
        <v>11072.913</v>
      </c>
      <c r="N35" s="418">
        <f t="shared" si="13"/>
        <v>12310.73</v>
      </c>
      <c r="O35" s="418">
        <f t="shared" si="13"/>
        <v>8550.77</v>
      </c>
      <c r="P35" s="418">
        <f t="shared" si="13"/>
        <v>11072.913</v>
      </c>
      <c r="Q35" s="418">
        <f t="shared" si="13"/>
        <v>12310.73</v>
      </c>
      <c r="R35" s="418">
        <f t="shared" si="13"/>
        <v>8550.77</v>
      </c>
      <c r="S35" s="418">
        <f t="shared" si="13"/>
        <v>0</v>
      </c>
      <c r="T35" s="418">
        <f t="shared" si="13"/>
        <v>0</v>
      </c>
      <c r="U35" s="418">
        <f t="shared" si="13"/>
        <v>0</v>
      </c>
      <c r="V35" s="418">
        <f t="shared" si="13"/>
        <v>0</v>
      </c>
      <c r="W35" s="418">
        <f t="shared" si="13"/>
        <v>0</v>
      </c>
      <c r="X35" s="418">
        <f t="shared" si="13"/>
        <v>0</v>
      </c>
    </row>
    <row r="36" spans="1:25">
      <c r="B36" s="26"/>
      <c r="C36" s="27"/>
      <c r="D36" s="27"/>
      <c r="E36" s="27"/>
      <c r="F36" s="27"/>
      <c r="G36" s="27"/>
      <c r="H36" s="27"/>
      <c r="I36" s="27"/>
      <c r="J36" s="78"/>
      <c r="K36" s="78"/>
      <c r="L36" s="78"/>
      <c r="M36" s="78"/>
      <c r="N36" s="78"/>
      <c r="O36" s="78"/>
      <c r="P36" s="78"/>
      <c r="Q36" s="78"/>
      <c r="R36" s="78"/>
      <c r="S36" s="27"/>
      <c r="T36" s="27"/>
      <c r="U36" s="27"/>
      <c r="V36" s="27"/>
      <c r="W36" s="27"/>
      <c r="X36" s="27"/>
    </row>
    <row r="37" spans="1:25" s="104" customFormat="1" ht="39" customHeight="1">
      <c r="A37" s="769" t="s">
        <v>117</v>
      </c>
      <c r="B37" s="770"/>
      <c r="C37" s="770"/>
      <c r="D37" s="103">
        <f>D23+'образование+молодежка'!D19+культура!D22+'физ-ра'!D19</f>
        <v>13883.970000000001</v>
      </c>
      <c r="E37" s="103">
        <f>E23+'образование+молодежка'!E19+культура!E22+'физ-ра'!E19</f>
        <v>14279.630000000001</v>
      </c>
      <c r="F37" s="103">
        <f>F23+'образование+молодежка'!F19+культура!F22+'физ-ра'!F19</f>
        <v>13707.06</v>
      </c>
      <c r="G37" s="103">
        <f>G23+'образование+молодежка'!G19+культура!G22+'физ-ра'!G19</f>
        <v>13803.839999999998</v>
      </c>
      <c r="H37" s="103">
        <f>H23+'образование+молодежка'!H19+культура!H22+'физ-ра'!H19</f>
        <v>10003.73</v>
      </c>
      <c r="I37" s="103">
        <f>I23+'образование+молодежка'!I19+культура!I22+'физ-ра'!I19</f>
        <v>9902.93</v>
      </c>
      <c r="J37" s="103">
        <f>J23+'образование+молодежка'!J19+культура!J22+'физ-ра'!J19</f>
        <v>5636227.330000001</v>
      </c>
      <c r="K37" s="103">
        <f>K23+'образование+молодежка'!K19+культура!K22+'физ-ра'!K19</f>
        <v>6723390.1099999994</v>
      </c>
      <c r="L37" s="103">
        <f>L23+'образование+молодежка'!L19+культура!L22+'физ-ра'!L19</f>
        <v>4458765.0799999991</v>
      </c>
      <c r="M37" s="103">
        <f>M23+'образование+молодежка'!M19+культура!M22+'физ-ра'!M19</f>
        <v>3169981.6130000008</v>
      </c>
      <c r="N37" s="103">
        <f>N23+'образование+молодежка'!N19+культура!N22+'физ-ра'!N19</f>
        <v>3313862.1600000006</v>
      </c>
      <c r="O37" s="103">
        <f>O23+'образование+молодежка'!O19+культура!O22+'физ-ра'!O19</f>
        <v>2267413.9699999997</v>
      </c>
      <c r="P37" s="103">
        <f>P23+'образование+молодежка'!P19+культура!P22+'физ-ра'!P19</f>
        <v>1392690.9029999999</v>
      </c>
      <c r="Q37" s="103">
        <f>Q23+'образование+молодежка'!Q19+культура!Q22+'физ-ра'!Q19</f>
        <v>1426657.93</v>
      </c>
      <c r="R37" s="103">
        <f>R23+'образование+молодежка'!R19+культура!R22+'физ-ра'!R19</f>
        <v>979345.31</v>
      </c>
      <c r="S37" s="103">
        <f>S23+'образование+молодежка'!S19+культура!S22+'физ-ра'!S19</f>
        <v>1704724.49</v>
      </c>
      <c r="T37" s="103">
        <f>T23+'образование+молодежка'!T19+культура!T22+'физ-ра'!T19</f>
        <v>1803625.7400000002</v>
      </c>
      <c r="U37" s="103">
        <f>U23+'образование+молодежка'!U19+культура!U22+'физ-ра'!U19</f>
        <v>1233386.3699999999</v>
      </c>
      <c r="V37" s="103">
        <f>V23+'образование+молодежка'!V19+культура!V22+'физ-ра'!V19</f>
        <v>72566.22</v>
      </c>
      <c r="W37" s="103">
        <f>W23+'образование+молодежка'!W19+культура!W22+'физ-ра'!W19</f>
        <v>83578.489999999991</v>
      </c>
      <c r="X37" s="103">
        <f>X23+'образование+молодежка'!X19+культура!X22+'физ-ра'!X19</f>
        <v>54682.289999999994</v>
      </c>
    </row>
    <row r="38" spans="1:25" ht="12.75" customHeight="1">
      <c r="A38" s="770"/>
      <c r="B38" s="770"/>
      <c r="C38" s="770"/>
      <c r="D38" s="27"/>
      <c r="E38" s="27"/>
      <c r="F38" s="27"/>
      <c r="G38" s="27"/>
      <c r="H38" s="27"/>
      <c r="I38" s="27"/>
      <c r="J38" s="78"/>
      <c r="K38" s="78"/>
      <c r="L38" s="78"/>
      <c r="M38" s="78"/>
      <c r="N38" s="78"/>
      <c r="O38" s="78"/>
      <c r="P38" s="78"/>
      <c r="Q38" s="78"/>
      <c r="R38" s="78"/>
      <c r="S38" s="27"/>
      <c r="T38" s="27"/>
      <c r="U38" s="27"/>
      <c r="V38" s="27"/>
      <c r="W38" s="27"/>
      <c r="X38" s="27"/>
      <c r="Y38" s="27"/>
    </row>
    <row r="39" spans="1:25" s="104" customFormat="1" ht="27.75" customHeight="1">
      <c r="A39" s="770"/>
      <c r="B39" s="770"/>
      <c r="C39" s="770"/>
      <c r="D39" s="106">
        <f>D52+D67+D97+'образование+молодежка'!D44+'образование+молодежка'!D60+'образование+молодежка'!D75+культура!D22+'физ-ра'!D19+D81</f>
        <v>13883.970000000001</v>
      </c>
      <c r="E39" s="106">
        <f>E52+E67+E97+'образование+молодежка'!E44+'образование+молодежка'!E60+'образование+молодежка'!E75+культура!E22+'физ-ра'!E19+E81</f>
        <v>14279.630000000001</v>
      </c>
      <c r="F39" s="106">
        <f>F52+F67+F97+'образование+молодежка'!F44+'образование+молодежка'!F60+'образование+молодежка'!F75+культура!F22+'физ-ра'!F19+F81</f>
        <v>13707.06</v>
      </c>
      <c r="G39" s="106">
        <f>G52+G67+G97+'образование+молодежка'!G44+'образование+молодежка'!G60+'образование+молодежка'!G75+культура!G22+'физ-ра'!G19+G81</f>
        <v>13803.84</v>
      </c>
      <c r="H39" s="106">
        <f>H52+H67+H97+'образование+молодежка'!H44+'образование+молодежка'!H60+'образование+молодежка'!H75+культура!H22+'физ-ра'!H19+H81</f>
        <v>10003.73</v>
      </c>
      <c r="I39" s="106">
        <f>I52+I67+I97+'образование+молодежка'!I44+'образование+молодежка'!I60+'образование+молодежка'!I75+культура!I22+'физ-ра'!I19+I81</f>
        <v>9902.93</v>
      </c>
      <c r="J39" s="106">
        <f>J52+J67+J97+'образование+молодежка'!J44+'образование+молодежка'!J60+'образование+молодежка'!J75+культура!J22+'физ-ра'!J19+J81</f>
        <v>5636227.3300000001</v>
      </c>
      <c r="K39" s="106">
        <f>K52+K67+K97+'образование+молодежка'!K44+'образование+молодежка'!K60+'образование+молодежка'!K75+культура!K22+'физ-ра'!K19+K81</f>
        <v>6723390.1099999994</v>
      </c>
      <c r="L39" s="106">
        <f>L52+L67+L97+'образование+молодежка'!L44+'образование+молодежка'!L60+'образование+молодежка'!L75+культура!L22+'физ-ра'!L19+L81</f>
        <v>4458765.0799999991</v>
      </c>
      <c r="M39" s="106">
        <f>M52+M67+M97+'образование+молодежка'!M44+'образование+молодежка'!M60+'образование+молодежка'!M75+культура!M22+'физ-ра'!M19+M81</f>
        <v>3169981.6130000008</v>
      </c>
      <c r="N39" s="106">
        <f>N52+N67+N97+'образование+молодежка'!N44+'образование+молодежка'!N60+'образование+молодежка'!N75+культура!N22+'физ-ра'!N19+N81</f>
        <v>3313862.1600000006</v>
      </c>
      <c r="O39" s="106">
        <f>O52+O67+O97+'образование+молодежка'!O44+'образование+молодежка'!O60+'образование+молодежка'!O75+культура!O22+'физ-ра'!O19+O81</f>
        <v>2267413.9700000002</v>
      </c>
      <c r="P39" s="106">
        <f>P52+P67+P97+'образование+молодежка'!P44+'образование+молодежка'!P60+'образование+молодежка'!P75+культура!P22+'физ-ра'!P19+P81</f>
        <v>1392690.9029999997</v>
      </c>
      <c r="Q39" s="106">
        <f>Q52+Q67+Q97+'образование+молодежка'!Q44+'образование+молодежка'!Q60+'образование+молодежка'!Q75+культура!Q22+'физ-ра'!Q19+Q81</f>
        <v>1426657.93</v>
      </c>
      <c r="R39" s="106">
        <f>R52+R67+R97+'образование+молодежка'!R44+'образование+молодежка'!R60+'образование+молодежка'!R75+культура!R22+'физ-ра'!R19+R81</f>
        <v>979345.31</v>
      </c>
      <c r="S39" s="106">
        <f>S52+S67+S97+'образование+молодежка'!S44+'образование+молодежка'!S60+'образование+молодежка'!S75+культура!S22+'физ-ра'!S19+S81</f>
        <v>1704724.49</v>
      </c>
      <c r="T39" s="106">
        <f>T52+T67+T97+'образование+молодежка'!T44+'образование+молодежка'!T60+'образование+молодежка'!T75+культура!T22+'физ-ра'!T19+T81</f>
        <v>1803625.7400000002</v>
      </c>
      <c r="U39" s="106">
        <f>U52+U67+U97+'образование+молодежка'!U44+'образование+молодежка'!U60+'образование+молодежка'!U75+культура!U22+'физ-ра'!U19+U81</f>
        <v>1233386.3699999999</v>
      </c>
      <c r="V39" s="106">
        <f>V52+V67+V97+'образование+молодежка'!V44+'образование+молодежка'!V60+'образование+молодежка'!V75+культура!V22+'физ-ра'!V19+V81</f>
        <v>72566.22</v>
      </c>
      <c r="W39" s="106">
        <f>W52+W67+W97+'образование+молодежка'!W44+'образование+молодежка'!W60+'образование+молодежка'!W75+культура!W22+'физ-ра'!W19+W81</f>
        <v>83578.489999999991</v>
      </c>
      <c r="X39" s="106">
        <f>X52+X67+X97+'образование+молодежка'!X44+'образование+молодежка'!X60+'образование+молодежка'!X75+культура!X22+'физ-ра'!X19+X81</f>
        <v>54682.289999999994</v>
      </c>
    </row>
    <row r="40" spans="1:25" ht="12.75" customHeight="1">
      <c r="A40" s="770"/>
      <c r="B40" s="770"/>
      <c r="C40" s="770"/>
      <c r="E40" s="28"/>
    </row>
    <row r="41" spans="1:25" ht="12.75" customHeight="1">
      <c r="A41" s="770"/>
      <c r="B41" s="770"/>
      <c r="C41" s="770"/>
      <c r="D41" s="105">
        <f>D37-D39</f>
        <v>0</v>
      </c>
      <c r="E41" s="105">
        <f>E37-E39</f>
        <v>0</v>
      </c>
      <c r="F41" s="105">
        <f t="shared" ref="F41:X41" si="14">F37-F39</f>
        <v>0</v>
      </c>
      <c r="G41" s="105">
        <f t="shared" si="14"/>
        <v>0</v>
      </c>
      <c r="H41" s="105">
        <f t="shared" si="14"/>
        <v>0</v>
      </c>
      <c r="I41" s="105">
        <f t="shared" si="14"/>
        <v>0</v>
      </c>
      <c r="J41" s="105">
        <f t="shared" si="14"/>
        <v>0</v>
      </c>
      <c r="K41" s="105">
        <f t="shared" si="14"/>
        <v>0</v>
      </c>
      <c r="L41" s="105">
        <f t="shared" si="14"/>
        <v>0</v>
      </c>
      <c r="M41" s="105">
        <f t="shared" si="14"/>
        <v>0</v>
      </c>
      <c r="N41" s="105">
        <f t="shared" si="14"/>
        <v>0</v>
      </c>
      <c r="O41" s="105">
        <f t="shared" si="14"/>
        <v>0</v>
      </c>
      <c r="P41" s="105">
        <f t="shared" si="14"/>
        <v>0</v>
      </c>
      <c r="Q41" s="105">
        <f t="shared" si="14"/>
        <v>0</v>
      </c>
      <c r="R41" s="105">
        <f t="shared" si="14"/>
        <v>0</v>
      </c>
      <c r="S41" s="105">
        <f t="shared" si="14"/>
        <v>0</v>
      </c>
      <c r="T41" s="105">
        <f t="shared" si="14"/>
        <v>0</v>
      </c>
      <c r="U41" s="105">
        <f t="shared" si="14"/>
        <v>0</v>
      </c>
      <c r="V41" s="105">
        <f t="shared" si="14"/>
        <v>0</v>
      </c>
      <c r="W41" s="105">
        <f t="shared" si="14"/>
        <v>0</v>
      </c>
      <c r="X41" s="105">
        <f t="shared" si="14"/>
        <v>0</v>
      </c>
    </row>
    <row r="42" spans="1:25" ht="12.75" customHeight="1">
      <c r="A42" s="770"/>
      <c r="B42" s="770"/>
      <c r="C42" s="770"/>
    </row>
    <row r="43" spans="1:25" ht="12.75" customHeight="1">
      <c r="A43" s="770"/>
      <c r="B43" s="770"/>
      <c r="C43" s="770"/>
    </row>
    <row r="44" spans="1:25" ht="9" customHeight="1">
      <c r="A44" s="770"/>
      <c r="B44" s="770"/>
      <c r="C44" s="770"/>
    </row>
    <row r="45" spans="1:25" hidden="1"/>
    <row r="46" spans="1:25" ht="36" customHeight="1">
      <c r="B46" s="468" t="s">
        <v>125</v>
      </c>
      <c r="D46" s="8">
        <f t="shared" ref="D46:R46" si="15">D52-D56</f>
        <v>0</v>
      </c>
      <c r="E46" s="8">
        <f t="shared" si="15"/>
        <v>0</v>
      </c>
      <c r="F46" s="8">
        <f t="shared" si="15"/>
        <v>0</v>
      </c>
      <c r="G46" s="8">
        <f t="shared" si="15"/>
        <v>0</v>
      </c>
      <c r="H46" s="8">
        <f t="shared" si="15"/>
        <v>0</v>
      </c>
      <c r="I46" s="8">
        <f t="shared" si="15"/>
        <v>0</v>
      </c>
      <c r="J46" s="8">
        <f t="shared" si="15"/>
        <v>0</v>
      </c>
      <c r="K46" s="8">
        <f t="shared" si="15"/>
        <v>0</v>
      </c>
      <c r="L46" s="8">
        <f t="shared" si="15"/>
        <v>0</v>
      </c>
      <c r="M46" s="8">
        <f t="shared" si="15"/>
        <v>0</v>
      </c>
      <c r="N46" s="8">
        <f t="shared" si="15"/>
        <v>0</v>
      </c>
      <c r="O46" s="8">
        <f t="shared" si="15"/>
        <v>0</v>
      </c>
      <c r="P46" s="8">
        <f t="shared" si="15"/>
        <v>0</v>
      </c>
      <c r="Q46" s="8">
        <f t="shared" si="15"/>
        <v>0</v>
      </c>
      <c r="R46" s="8">
        <f t="shared" si="15"/>
        <v>0</v>
      </c>
    </row>
    <row r="47" spans="1:25" ht="13.5" thickBot="1">
      <c r="B47" s="30"/>
    </row>
    <row r="48" spans="1:25">
      <c r="B48" s="777"/>
      <c r="C48" s="704" t="s">
        <v>30</v>
      </c>
      <c r="D48" s="707" t="s">
        <v>38</v>
      </c>
      <c r="E48" s="708"/>
      <c r="F48" s="707" t="s">
        <v>39</v>
      </c>
      <c r="G48" s="708"/>
      <c r="H48" s="707" t="s">
        <v>37</v>
      </c>
      <c r="I48" s="708"/>
      <c r="J48" s="707" t="s">
        <v>50</v>
      </c>
      <c r="K48" s="708"/>
      <c r="L48" s="711"/>
      <c r="M48" s="707" t="s">
        <v>36</v>
      </c>
      <c r="N48" s="708"/>
      <c r="O48" s="711"/>
      <c r="P48" s="704" t="s">
        <v>32</v>
      </c>
      <c r="Q48" s="704"/>
      <c r="R48" s="704"/>
      <c r="S48" s="704"/>
      <c r="T48" s="704"/>
      <c r="U48" s="704"/>
      <c r="V48" s="704"/>
      <c r="W48" s="715"/>
      <c r="X48" s="716"/>
    </row>
    <row r="49" spans="2:24">
      <c r="B49" s="778"/>
      <c r="C49" s="705"/>
      <c r="D49" s="709"/>
      <c r="E49" s="710"/>
      <c r="F49" s="709"/>
      <c r="G49" s="710"/>
      <c r="H49" s="709"/>
      <c r="I49" s="710"/>
      <c r="J49" s="712"/>
      <c r="K49" s="713"/>
      <c r="L49" s="714"/>
      <c r="M49" s="712"/>
      <c r="N49" s="713"/>
      <c r="O49" s="714"/>
      <c r="P49" s="705" t="s">
        <v>53</v>
      </c>
      <c r="Q49" s="705"/>
      <c r="R49" s="705"/>
      <c r="S49" s="705" t="s">
        <v>54</v>
      </c>
      <c r="T49" s="705"/>
      <c r="U49" s="705"/>
      <c r="V49" s="705" t="s">
        <v>33</v>
      </c>
      <c r="W49" s="705"/>
      <c r="X49" s="717"/>
    </row>
    <row r="50" spans="2:24" ht="51.75" thickBot="1">
      <c r="B50" s="779"/>
      <c r="C50" s="706"/>
      <c r="D50" s="67" t="s">
        <v>49</v>
      </c>
      <c r="E50" s="67" t="s">
        <v>14</v>
      </c>
      <c r="F50" s="67" t="s">
        <v>49</v>
      </c>
      <c r="G50" s="67" t="s">
        <v>14</v>
      </c>
      <c r="H50" s="67" t="s">
        <v>49</v>
      </c>
      <c r="I50" s="67" t="s">
        <v>14</v>
      </c>
      <c r="J50" s="67" t="s">
        <v>48</v>
      </c>
      <c r="K50" s="67" t="s">
        <v>19</v>
      </c>
      <c r="L50" s="67" t="s">
        <v>31</v>
      </c>
      <c r="M50" s="67" t="s">
        <v>48</v>
      </c>
      <c r="N50" s="67" t="s">
        <v>19</v>
      </c>
      <c r="O50" s="67" t="s">
        <v>31</v>
      </c>
      <c r="P50" s="67" t="s">
        <v>48</v>
      </c>
      <c r="Q50" s="67" t="s">
        <v>19</v>
      </c>
      <c r="R50" s="67" t="s">
        <v>31</v>
      </c>
      <c r="S50" s="67" t="s">
        <v>48</v>
      </c>
      <c r="T50" s="67" t="s">
        <v>19</v>
      </c>
      <c r="U50" s="67" t="s">
        <v>31</v>
      </c>
      <c r="V50" s="67" t="s">
        <v>48</v>
      </c>
      <c r="W50" s="67" t="s">
        <v>19</v>
      </c>
      <c r="X50" s="68" t="s">
        <v>31</v>
      </c>
    </row>
    <row r="51" spans="2:24" ht="13.5" thickBot="1">
      <c r="B51" s="69">
        <v>1</v>
      </c>
      <c r="C51" s="70">
        <v>2</v>
      </c>
      <c r="D51" s="70">
        <v>3</v>
      </c>
      <c r="E51" s="71">
        <v>4</v>
      </c>
      <c r="F51" s="70">
        <v>5</v>
      </c>
      <c r="G51" s="70">
        <v>6</v>
      </c>
      <c r="H51" s="71">
        <v>7</v>
      </c>
      <c r="I51" s="70">
        <v>8</v>
      </c>
      <c r="J51" s="70">
        <v>9</v>
      </c>
      <c r="K51" s="71">
        <v>10</v>
      </c>
      <c r="L51" s="70">
        <v>11</v>
      </c>
      <c r="M51" s="70">
        <v>12</v>
      </c>
      <c r="N51" s="71">
        <v>13</v>
      </c>
      <c r="O51" s="70">
        <v>14</v>
      </c>
      <c r="P51" s="70">
        <v>15</v>
      </c>
      <c r="Q51" s="71">
        <v>16</v>
      </c>
      <c r="R51" s="70">
        <v>17</v>
      </c>
      <c r="S51" s="70">
        <v>18</v>
      </c>
      <c r="T51" s="71">
        <v>19</v>
      </c>
      <c r="U51" s="70">
        <v>20</v>
      </c>
      <c r="V51" s="70">
        <v>21</v>
      </c>
      <c r="W51" s="71">
        <v>22</v>
      </c>
      <c r="X51" s="72">
        <v>23</v>
      </c>
    </row>
    <row r="52" spans="2:24" ht="38.25">
      <c r="B52" s="79" t="s">
        <v>1</v>
      </c>
      <c r="C52" s="73" t="s">
        <v>3</v>
      </c>
      <c r="D52" s="264">
        <f t="shared" ref="D52:X52" si="16">D53+D54+D55</f>
        <v>264</v>
      </c>
      <c r="E52" s="264">
        <f t="shared" si="16"/>
        <v>257</v>
      </c>
      <c r="F52" s="264">
        <f t="shared" si="16"/>
        <v>241</v>
      </c>
      <c r="G52" s="264">
        <f t="shared" si="16"/>
        <v>212</v>
      </c>
      <c r="H52" s="264">
        <f t="shared" si="16"/>
        <v>230</v>
      </c>
      <c r="I52" s="264">
        <f t="shared" si="16"/>
        <v>227.7</v>
      </c>
      <c r="J52" s="265">
        <f t="shared" si="16"/>
        <v>135940.29</v>
      </c>
      <c r="K52" s="265">
        <f t="shared" si="16"/>
        <v>136118.32</v>
      </c>
      <c r="L52" s="265">
        <f t="shared" si="16"/>
        <v>87370</v>
      </c>
      <c r="M52" s="265">
        <f t="shared" si="16"/>
        <v>71636.959999999992</v>
      </c>
      <c r="N52" s="265">
        <f t="shared" si="16"/>
        <v>71682.739999999991</v>
      </c>
      <c r="O52" s="265">
        <f t="shared" si="16"/>
        <v>47744.5</v>
      </c>
      <c r="P52" s="265">
        <f t="shared" si="16"/>
        <v>71636.959999999992</v>
      </c>
      <c r="Q52" s="265">
        <f t="shared" si="16"/>
        <v>71682.739999999991</v>
      </c>
      <c r="R52" s="265">
        <f t="shared" si="16"/>
        <v>47744.5</v>
      </c>
      <c r="S52" s="264">
        <f t="shared" si="16"/>
        <v>0</v>
      </c>
      <c r="T52" s="264">
        <f t="shared" si="16"/>
        <v>0</v>
      </c>
      <c r="U52" s="264">
        <f t="shared" si="16"/>
        <v>0</v>
      </c>
      <c r="V52" s="264">
        <f t="shared" si="16"/>
        <v>0</v>
      </c>
      <c r="W52" s="264">
        <f t="shared" si="16"/>
        <v>0</v>
      </c>
      <c r="X52" s="266">
        <f t="shared" si="16"/>
        <v>0</v>
      </c>
    </row>
    <row r="53" spans="2:24" ht="18">
      <c r="B53" s="80" t="s">
        <v>20</v>
      </c>
      <c r="C53" s="74" t="s">
        <v>16</v>
      </c>
      <c r="D53" s="267">
        <f>D58+D57</f>
        <v>264</v>
      </c>
      <c r="E53" s="267">
        <f t="shared" ref="E53:X53" si="17">E58+E57</f>
        <v>257</v>
      </c>
      <c r="F53" s="267">
        <f t="shared" si="17"/>
        <v>241</v>
      </c>
      <c r="G53" s="267">
        <f t="shared" si="17"/>
        <v>212</v>
      </c>
      <c r="H53" s="267">
        <f t="shared" si="17"/>
        <v>230</v>
      </c>
      <c r="I53" s="267">
        <f t="shared" si="17"/>
        <v>227.7</v>
      </c>
      <c r="J53" s="267">
        <f t="shared" si="17"/>
        <v>135940.29</v>
      </c>
      <c r="K53" s="267">
        <f t="shared" si="17"/>
        <v>136118.32</v>
      </c>
      <c r="L53" s="267">
        <f t="shared" si="17"/>
        <v>87370</v>
      </c>
      <c r="M53" s="267">
        <f t="shared" si="17"/>
        <v>71636.959999999992</v>
      </c>
      <c r="N53" s="267">
        <f t="shared" si="17"/>
        <v>71682.739999999991</v>
      </c>
      <c r="O53" s="267">
        <f t="shared" si="17"/>
        <v>47744.5</v>
      </c>
      <c r="P53" s="267">
        <f t="shared" si="17"/>
        <v>71636.959999999992</v>
      </c>
      <c r="Q53" s="267">
        <f t="shared" si="17"/>
        <v>71682.739999999991</v>
      </c>
      <c r="R53" s="267">
        <f t="shared" si="17"/>
        <v>47744.5</v>
      </c>
      <c r="S53" s="267">
        <f t="shared" si="17"/>
        <v>0</v>
      </c>
      <c r="T53" s="267">
        <f t="shared" si="17"/>
        <v>0</v>
      </c>
      <c r="U53" s="267">
        <f t="shared" si="17"/>
        <v>0</v>
      </c>
      <c r="V53" s="267">
        <f t="shared" si="17"/>
        <v>0</v>
      </c>
      <c r="W53" s="267">
        <f t="shared" si="17"/>
        <v>0</v>
      </c>
      <c r="X53" s="267">
        <f t="shared" si="17"/>
        <v>0</v>
      </c>
    </row>
    <row r="54" spans="2:24" ht="18">
      <c r="B54" s="80" t="s">
        <v>21</v>
      </c>
      <c r="C54" s="74" t="s">
        <v>17</v>
      </c>
      <c r="D54" s="267"/>
      <c r="E54" s="267"/>
      <c r="F54" s="267"/>
      <c r="G54" s="267"/>
      <c r="H54" s="267"/>
      <c r="I54" s="267"/>
      <c r="J54" s="484"/>
      <c r="K54" s="484"/>
      <c r="L54" s="484"/>
      <c r="M54" s="190"/>
      <c r="N54" s="190"/>
      <c r="O54" s="190"/>
      <c r="P54" s="190"/>
      <c r="Q54" s="190"/>
      <c r="R54" s="190"/>
      <c r="S54" s="458"/>
      <c r="T54" s="458"/>
      <c r="U54" s="458"/>
      <c r="V54" s="458"/>
      <c r="W54" s="459"/>
      <c r="X54" s="268"/>
    </row>
    <row r="55" spans="2:24" ht="18">
      <c r="B55" s="80" t="s">
        <v>22</v>
      </c>
      <c r="C55" s="74" t="s">
        <v>18</v>
      </c>
      <c r="D55" s="267"/>
      <c r="E55" s="267"/>
      <c r="F55" s="267"/>
      <c r="G55" s="267"/>
      <c r="H55" s="267"/>
      <c r="I55" s="267"/>
      <c r="J55" s="190"/>
      <c r="K55" s="190"/>
      <c r="L55" s="190"/>
      <c r="M55" s="190"/>
      <c r="N55" s="190"/>
      <c r="O55" s="190"/>
      <c r="P55" s="460"/>
      <c r="Q55" s="460"/>
      <c r="R55" s="460"/>
      <c r="S55" s="458"/>
      <c r="T55" s="458"/>
      <c r="U55" s="458"/>
      <c r="V55" s="458"/>
      <c r="W55" s="459"/>
      <c r="X55" s="268"/>
    </row>
    <row r="56" spans="2:24" ht="38.25">
      <c r="B56" s="75" t="s">
        <v>2</v>
      </c>
      <c r="C56" s="76" t="s">
        <v>34</v>
      </c>
      <c r="D56" s="461">
        <f>D57+D58+D59+D60+D61</f>
        <v>264</v>
      </c>
      <c r="E56" s="461">
        <f t="shared" ref="E56:X56" si="18">E57+E58+E59+E60+E61</f>
        <v>257</v>
      </c>
      <c r="F56" s="461">
        <f>F57+F58+F59+F60+F61</f>
        <v>241</v>
      </c>
      <c r="G56" s="461">
        <f t="shared" si="18"/>
        <v>212</v>
      </c>
      <c r="H56" s="461">
        <f>H57+H58+H59+H60+H61</f>
        <v>230</v>
      </c>
      <c r="I56" s="461">
        <f t="shared" si="18"/>
        <v>227.7</v>
      </c>
      <c r="J56" s="462">
        <f t="shared" si="18"/>
        <v>135940.29</v>
      </c>
      <c r="K56" s="462">
        <f t="shared" si="18"/>
        <v>136118.32</v>
      </c>
      <c r="L56" s="462">
        <f t="shared" si="18"/>
        <v>87370</v>
      </c>
      <c r="M56" s="462">
        <f t="shared" si="18"/>
        <v>71636.959999999992</v>
      </c>
      <c r="N56" s="462">
        <f t="shared" si="18"/>
        <v>71682.739999999991</v>
      </c>
      <c r="O56" s="462">
        <f t="shared" si="18"/>
        <v>47744.5</v>
      </c>
      <c r="P56" s="462">
        <f t="shared" si="18"/>
        <v>71636.959999999992</v>
      </c>
      <c r="Q56" s="462">
        <f t="shared" si="18"/>
        <v>71682.739999999991</v>
      </c>
      <c r="R56" s="462">
        <f t="shared" si="18"/>
        <v>47744.5</v>
      </c>
      <c r="S56" s="461">
        <f t="shared" si="18"/>
        <v>0</v>
      </c>
      <c r="T56" s="461">
        <f t="shared" si="18"/>
        <v>0</v>
      </c>
      <c r="U56" s="461">
        <f t="shared" si="18"/>
        <v>0</v>
      </c>
      <c r="V56" s="461">
        <f t="shared" si="18"/>
        <v>0</v>
      </c>
      <c r="W56" s="461">
        <f t="shared" si="18"/>
        <v>0</v>
      </c>
      <c r="X56" s="463">
        <f t="shared" si="18"/>
        <v>0</v>
      </c>
    </row>
    <row r="57" spans="2:24" ht="20.25">
      <c r="B57" s="81" t="s">
        <v>20</v>
      </c>
      <c r="C57" s="84" t="s">
        <v>92</v>
      </c>
      <c r="D57" s="255">
        <v>217</v>
      </c>
      <c r="E57" s="255">
        <v>212</v>
      </c>
      <c r="F57" s="255">
        <v>200</v>
      </c>
      <c r="G57" s="255">
        <v>173</v>
      </c>
      <c r="H57" s="255">
        <v>189</v>
      </c>
      <c r="I57" s="255">
        <v>188</v>
      </c>
      <c r="J57" s="256">
        <v>99558.56</v>
      </c>
      <c r="K57" s="256">
        <v>99509.06</v>
      </c>
      <c r="L57" s="256">
        <v>63176.08</v>
      </c>
      <c r="M57" s="256">
        <v>59933.38</v>
      </c>
      <c r="N57" s="256">
        <v>59933.38</v>
      </c>
      <c r="O57" s="256">
        <v>39608.21</v>
      </c>
      <c r="P57" s="256">
        <v>59933.38</v>
      </c>
      <c r="Q57" s="256">
        <v>59933.38</v>
      </c>
      <c r="R57" s="256">
        <v>39608.21</v>
      </c>
      <c r="S57" s="460"/>
      <c r="T57" s="458"/>
      <c r="U57" s="458"/>
      <c r="V57" s="458"/>
      <c r="W57" s="459"/>
      <c r="X57" s="268"/>
    </row>
    <row r="58" spans="2:24" ht="18">
      <c r="B58" s="81" t="s">
        <v>21</v>
      </c>
      <c r="C58" s="84" t="s">
        <v>93</v>
      </c>
      <c r="D58" s="267">
        <v>47</v>
      </c>
      <c r="E58" s="267">
        <v>45</v>
      </c>
      <c r="F58" s="267">
        <v>41</v>
      </c>
      <c r="G58" s="267">
        <v>39</v>
      </c>
      <c r="H58" s="267">
        <v>41</v>
      </c>
      <c r="I58" s="267">
        <v>39.700000000000003</v>
      </c>
      <c r="J58" s="190">
        <v>36381.730000000003</v>
      </c>
      <c r="K58" s="190">
        <v>36609.26</v>
      </c>
      <c r="L58" s="190">
        <v>24193.919999999998</v>
      </c>
      <c r="M58" s="190">
        <f>P58+S58</f>
        <v>11703.58</v>
      </c>
      <c r="N58" s="190">
        <f>Q58</f>
        <v>11749.36</v>
      </c>
      <c r="O58" s="190">
        <f>R58</f>
        <v>8136.29</v>
      </c>
      <c r="P58" s="190">
        <v>11703.58</v>
      </c>
      <c r="Q58" s="190">
        <v>11749.36</v>
      </c>
      <c r="R58" s="190">
        <v>8136.29</v>
      </c>
      <c r="S58" s="458">
        <v>0</v>
      </c>
      <c r="T58" s="458">
        <v>0</v>
      </c>
      <c r="U58" s="458">
        <v>0</v>
      </c>
      <c r="V58" s="458"/>
      <c r="W58" s="459"/>
      <c r="X58" s="268"/>
    </row>
    <row r="59" spans="2:24" ht="18">
      <c r="B59" s="81" t="s">
        <v>22</v>
      </c>
      <c r="C59" s="74" t="s">
        <v>35</v>
      </c>
      <c r="D59" s="267"/>
      <c r="E59" s="267"/>
      <c r="F59" s="267"/>
      <c r="G59" s="267"/>
      <c r="H59" s="267"/>
      <c r="I59" s="267"/>
      <c r="J59" s="190"/>
      <c r="K59" s="190"/>
      <c r="L59" s="190"/>
      <c r="M59" s="190"/>
      <c r="N59" s="190"/>
      <c r="O59" s="190"/>
      <c r="P59" s="460"/>
      <c r="Q59" s="460"/>
      <c r="R59" s="460"/>
      <c r="S59" s="458"/>
      <c r="T59" s="458"/>
      <c r="U59" s="458"/>
      <c r="V59" s="458"/>
      <c r="W59" s="459"/>
      <c r="X59" s="268"/>
    </row>
    <row r="60" spans="2:24" ht="18">
      <c r="B60" s="81" t="s">
        <v>23</v>
      </c>
      <c r="C60" s="74"/>
      <c r="D60" s="267"/>
      <c r="E60" s="267"/>
      <c r="F60" s="267"/>
      <c r="G60" s="267"/>
      <c r="H60" s="267"/>
      <c r="I60" s="267"/>
      <c r="J60" s="190"/>
      <c r="K60" s="190"/>
      <c r="L60" s="190"/>
      <c r="M60" s="190"/>
      <c r="N60" s="190"/>
      <c r="O60" s="190"/>
      <c r="P60" s="460"/>
      <c r="Q60" s="460"/>
      <c r="R60" s="460"/>
      <c r="S60" s="458"/>
      <c r="T60" s="458"/>
      <c r="U60" s="458"/>
      <c r="V60" s="458"/>
      <c r="W60" s="459"/>
      <c r="X60" s="268"/>
    </row>
    <row r="61" spans="2:24" ht="18.75" thickBot="1">
      <c r="B61" s="82" t="s">
        <v>24</v>
      </c>
      <c r="C61" s="83"/>
      <c r="D61" s="269"/>
      <c r="E61" s="269"/>
      <c r="F61" s="269"/>
      <c r="G61" s="269"/>
      <c r="H61" s="269"/>
      <c r="I61" s="269"/>
      <c r="J61" s="464"/>
      <c r="K61" s="464"/>
      <c r="L61" s="464"/>
      <c r="M61" s="464"/>
      <c r="N61" s="464"/>
      <c r="O61" s="464"/>
      <c r="P61" s="465"/>
      <c r="Q61" s="465"/>
      <c r="R61" s="465"/>
      <c r="S61" s="466"/>
      <c r="T61" s="466"/>
      <c r="U61" s="466"/>
      <c r="V61" s="466"/>
      <c r="W61" s="467"/>
      <c r="X61" s="270"/>
    </row>
    <row r="62" spans="2:24" ht="27" thickBot="1">
      <c r="B62" s="617">
        <v>620</v>
      </c>
      <c r="D62" s="105">
        <f>D67-D71</f>
        <v>0</v>
      </c>
      <c r="E62" s="105">
        <f t="shared" ref="E62:X62" si="19">E67-E71</f>
        <v>0</v>
      </c>
      <c r="F62" s="105">
        <f t="shared" si="19"/>
        <v>0</v>
      </c>
      <c r="G62" s="105">
        <f t="shared" si="19"/>
        <v>0</v>
      </c>
      <c r="H62" s="105">
        <f t="shared" si="19"/>
        <v>0</v>
      </c>
      <c r="I62" s="105">
        <f t="shared" si="19"/>
        <v>0</v>
      </c>
      <c r="J62" s="105">
        <f t="shared" si="19"/>
        <v>0</v>
      </c>
      <c r="K62" s="105">
        <f t="shared" si="19"/>
        <v>0</v>
      </c>
      <c r="L62" s="105">
        <f t="shared" si="19"/>
        <v>0</v>
      </c>
      <c r="M62" s="105">
        <f t="shared" si="19"/>
        <v>0</v>
      </c>
      <c r="N62" s="105">
        <f t="shared" si="19"/>
        <v>0</v>
      </c>
      <c r="O62" s="105">
        <f t="shared" si="19"/>
        <v>0</v>
      </c>
      <c r="P62" s="105">
        <f t="shared" si="19"/>
        <v>0</v>
      </c>
      <c r="Q62" s="105">
        <f t="shared" si="19"/>
        <v>0</v>
      </c>
      <c r="R62" s="105">
        <f t="shared" si="19"/>
        <v>0</v>
      </c>
      <c r="S62" s="105">
        <f t="shared" si="19"/>
        <v>0</v>
      </c>
      <c r="T62" s="105">
        <f t="shared" si="19"/>
        <v>0</v>
      </c>
      <c r="U62" s="105">
        <f t="shared" si="19"/>
        <v>0</v>
      </c>
      <c r="V62" s="105">
        <f t="shared" si="19"/>
        <v>0</v>
      </c>
      <c r="W62" s="105">
        <f t="shared" si="19"/>
        <v>0</v>
      </c>
      <c r="X62" s="105">
        <f t="shared" si="19"/>
        <v>0</v>
      </c>
    </row>
    <row r="63" spans="2:24">
      <c r="B63" s="774"/>
      <c r="C63" s="704" t="s">
        <v>30</v>
      </c>
      <c r="D63" s="707" t="s">
        <v>38</v>
      </c>
      <c r="E63" s="708"/>
      <c r="F63" s="707" t="s">
        <v>39</v>
      </c>
      <c r="G63" s="708"/>
      <c r="H63" s="707" t="s">
        <v>37</v>
      </c>
      <c r="I63" s="708"/>
      <c r="J63" s="707" t="s">
        <v>50</v>
      </c>
      <c r="K63" s="708"/>
      <c r="L63" s="711"/>
      <c r="M63" s="707" t="s">
        <v>36</v>
      </c>
      <c r="N63" s="708"/>
      <c r="O63" s="711"/>
      <c r="P63" s="704" t="s">
        <v>32</v>
      </c>
      <c r="Q63" s="704"/>
      <c r="R63" s="704"/>
      <c r="S63" s="704"/>
      <c r="T63" s="704"/>
      <c r="U63" s="704"/>
      <c r="V63" s="704"/>
      <c r="W63" s="715"/>
      <c r="X63" s="716"/>
    </row>
    <row r="64" spans="2:24">
      <c r="B64" s="775"/>
      <c r="C64" s="705"/>
      <c r="D64" s="709"/>
      <c r="E64" s="710"/>
      <c r="F64" s="709"/>
      <c r="G64" s="710"/>
      <c r="H64" s="709"/>
      <c r="I64" s="710"/>
      <c r="J64" s="712"/>
      <c r="K64" s="713"/>
      <c r="L64" s="714"/>
      <c r="M64" s="712"/>
      <c r="N64" s="713"/>
      <c r="O64" s="714"/>
      <c r="P64" s="705" t="s">
        <v>53</v>
      </c>
      <c r="Q64" s="705"/>
      <c r="R64" s="705"/>
      <c r="S64" s="705" t="s">
        <v>54</v>
      </c>
      <c r="T64" s="705"/>
      <c r="U64" s="705"/>
      <c r="V64" s="705" t="s">
        <v>33</v>
      </c>
      <c r="W64" s="705"/>
      <c r="X64" s="717"/>
    </row>
    <row r="65" spans="2:24" ht="51.75" thickBot="1">
      <c r="B65" s="776"/>
      <c r="C65" s="706"/>
      <c r="D65" s="67" t="s">
        <v>49</v>
      </c>
      <c r="E65" s="67" t="s">
        <v>14</v>
      </c>
      <c r="F65" s="67" t="s">
        <v>49</v>
      </c>
      <c r="G65" s="67" t="s">
        <v>14</v>
      </c>
      <c r="H65" s="67" t="s">
        <v>49</v>
      </c>
      <c r="I65" s="67" t="s">
        <v>14</v>
      </c>
      <c r="J65" s="67" t="s">
        <v>48</v>
      </c>
      <c r="K65" s="67" t="s">
        <v>19</v>
      </c>
      <c r="L65" s="67" t="s">
        <v>31</v>
      </c>
      <c r="M65" s="67" t="s">
        <v>48</v>
      </c>
      <c r="N65" s="67" t="s">
        <v>19</v>
      </c>
      <c r="O65" s="67" t="s">
        <v>31</v>
      </c>
      <c r="P65" s="67" t="s">
        <v>48</v>
      </c>
      <c r="Q65" s="67" t="s">
        <v>19</v>
      </c>
      <c r="R65" s="67" t="s">
        <v>31</v>
      </c>
      <c r="S65" s="67" t="s">
        <v>48</v>
      </c>
      <c r="T65" s="67" t="s">
        <v>19</v>
      </c>
      <c r="U65" s="67" t="s">
        <v>31</v>
      </c>
      <c r="V65" s="67" t="s">
        <v>48</v>
      </c>
      <c r="W65" s="67" t="s">
        <v>19</v>
      </c>
      <c r="X65" s="68" t="s">
        <v>31</v>
      </c>
    </row>
    <row r="66" spans="2:24" ht="13.5" thickBot="1">
      <c r="B66" s="69">
        <v>1</v>
      </c>
      <c r="C66" s="70">
        <v>2</v>
      </c>
      <c r="D66" s="70">
        <v>3</v>
      </c>
      <c r="E66" s="71">
        <v>4</v>
      </c>
      <c r="F66" s="70">
        <v>5</v>
      </c>
      <c r="G66" s="70">
        <v>6</v>
      </c>
      <c r="H66" s="71">
        <v>7</v>
      </c>
      <c r="I66" s="70">
        <v>8</v>
      </c>
      <c r="J66" s="70">
        <v>9</v>
      </c>
      <c r="K66" s="71">
        <v>10</v>
      </c>
      <c r="L66" s="70">
        <v>11</v>
      </c>
      <c r="M66" s="70">
        <v>12</v>
      </c>
      <c r="N66" s="71">
        <v>13</v>
      </c>
      <c r="O66" s="70">
        <v>14</v>
      </c>
      <c r="P66" s="70">
        <v>15</v>
      </c>
      <c r="Q66" s="71">
        <v>16</v>
      </c>
      <c r="R66" s="70">
        <v>17</v>
      </c>
      <c r="S66" s="70">
        <v>18</v>
      </c>
      <c r="T66" s="71">
        <v>19</v>
      </c>
      <c r="U66" s="70">
        <v>20</v>
      </c>
      <c r="V66" s="70">
        <v>21</v>
      </c>
      <c r="W66" s="71">
        <v>22</v>
      </c>
      <c r="X66" s="72">
        <v>23</v>
      </c>
    </row>
    <row r="67" spans="2:24" s="30" customFormat="1" ht="38.25">
      <c r="B67" s="414" t="s">
        <v>1</v>
      </c>
      <c r="C67" s="73" t="s">
        <v>3</v>
      </c>
      <c r="D67" s="407">
        <f>D69</f>
        <v>138.5</v>
      </c>
      <c r="E67" s="407">
        <f t="shared" ref="E67:W67" si="20">E69</f>
        <v>132</v>
      </c>
      <c r="F67" s="407">
        <f t="shared" si="20"/>
        <v>103.5</v>
      </c>
      <c r="G67" s="407">
        <f t="shared" si="20"/>
        <v>100</v>
      </c>
      <c r="H67" s="407">
        <f t="shared" si="20"/>
        <v>115.5</v>
      </c>
      <c r="I67" s="407">
        <f t="shared" si="20"/>
        <v>103</v>
      </c>
      <c r="J67" s="408">
        <f t="shared" si="20"/>
        <v>98118.41</v>
      </c>
      <c r="K67" s="408">
        <f t="shared" si="20"/>
        <v>134007.44999999998</v>
      </c>
      <c r="L67" s="408">
        <f t="shared" si="20"/>
        <v>98922.15</v>
      </c>
      <c r="M67" s="408">
        <f>M69</f>
        <v>44768.88</v>
      </c>
      <c r="N67" s="408">
        <f t="shared" si="20"/>
        <v>49857.71</v>
      </c>
      <c r="O67" s="408">
        <f t="shared" si="20"/>
        <v>32933.579999999994</v>
      </c>
      <c r="P67" s="408">
        <f t="shared" si="20"/>
        <v>43665.91</v>
      </c>
      <c r="Q67" s="408">
        <f>Q69</f>
        <v>47203.710000000006</v>
      </c>
      <c r="R67" s="408">
        <f t="shared" si="20"/>
        <v>31329.239999999998</v>
      </c>
      <c r="S67" s="408">
        <f t="shared" si="20"/>
        <v>0</v>
      </c>
      <c r="T67" s="408">
        <f t="shared" si="20"/>
        <v>0</v>
      </c>
      <c r="U67" s="408">
        <f t="shared" si="20"/>
        <v>0</v>
      </c>
      <c r="V67" s="408">
        <f t="shared" si="20"/>
        <v>1102.97</v>
      </c>
      <c r="W67" s="408">
        <f t="shared" si="20"/>
        <v>2654</v>
      </c>
      <c r="X67" s="408">
        <f>X69</f>
        <v>1604.3400000000001</v>
      </c>
    </row>
    <row r="68" spans="2:24" ht="20.25">
      <c r="B68" s="415" t="s">
        <v>20</v>
      </c>
      <c r="C68" s="74" t="s">
        <v>16</v>
      </c>
      <c r="D68" s="409"/>
      <c r="E68" s="409"/>
      <c r="F68" s="409"/>
      <c r="G68" s="409"/>
      <c r="H68" s="409"/>
      <c r="I68" s="409"/>
      <c r="J68" s="410"/>
      <c r="K68" s="410"/>
      <c r="L68" s="410"/>
      <c r="M68" s="410"/>
      <c r="N68" s="410"/>
      <c r="O68" s="410"/>
      <c r="P68" s="410"/>
      <c r="Q68" s="410"/>
      <c r="R68" s="410"/>
      <c r="S68" s="411"/>
      <c r="T68" s="411"/>
      <c r="U68" s="411"/>
      <c r="V68" s="411"/>
      <c r="W68" s="411"/>
      <c r="X68" s="412"/>
    </row>
    <row r="69" spans="2:24" ht="17.25" customHeight="1">
      <c r="B69" s="415" t="s">
        <v>21</v>
      </c>
      <c r="C69" s="74" t="s">
        <v>17</v>
      </c>
      <c r="D69" s="407">
        <f>D72+D73+D74</f>
        <v>138.5</v>
      </c>
      <c r="E69" s="407">
        <f t="shared" ref="E69:X69" si="21">E72+E73+E74</f>
        <v>132</v>
      </c>
      <c r="F69" s="407">
        <f t="shared" si="21"/>
        <v>103.5</v>
      </c>
      <c r="G69" s="407">
        <f t="shared" si="21"/>
        <v>100</v>
      </c>
      <c r="H69" s="407">
        <f t="shared" si="21"/>
        <v>115.5</v>
      </c>
      <c r="I69" s="407">
        <f t="shared" si="21"/>
        <v>103</v>
      </c>
      <c r="J69" s="407">
        <f t="shared" si="21"/>
        <v>98118.41</v>
      </c>
      <c r="K69" s="407">
        <f t="shared" si="21"/>
        <v>134007.44999999998</v>
      </c>
      <c r="L69" s="407">
        <f t="shared" si="21"/>
        <v>98922.15</v>
      </c>
      <c r="M69" s="407">
        <f t="shared" si="21"/>
        <v>44768.88</v>
      </c>
      <c r="N69" s="407">
        <f t="shared" si="21"/>
        <v>49857.71</v>
      </c>
      <c r="O69" s="407">
        <f t="shared" si="21"/>
        <v>32933.579999999994</v>
      </c>
      <c r="P69" s="407">
        <f t="shared" si="21"/>
        <v>43665.91</v>
      </c>
      <c r="Q69" s="407">
        <f t="shared" si="21"/>
        <v>47203.710000000006</v>
      </c>
      <c r="R69" s="407">
        <f t="shared" si="21"/>
        <v>31329.239999999998</v>
      </c>
      <c r="S69" s="407">
        <f t="shared" si="21"/>
        <v>0</v>
      </c>
      <c r="T69" s="407">
        <f t="shared" si="21"/>
        <v>0</v>
      </c>
      <c r="U69" s="407">
        <f t="shared" si="21"/>
        <v>0</v>
      </c>
      <c r="V69" s="407">
        <f t="shared" si="21"/>
        <v>1102.97</v>
      </c>
      <c r="W69" s="407">
        <f t="shared" si="21"/>
        <v>2654</v>
      </c>
      <c r="X69" s="407">
        <f t="shared" si="21"/>
        <v>1604.3400000000001</v>
      </c>
    </row>
    <row r="70" spans="2:24" ht="20.25">
      <c r="B70" s="415" t="s">
        <v>22</v>
      </c>
      <c r="C70" s="74" t="s">
        <v>18</v>
      </c>
      <c r="D70" s="413"/>
      <c r="E70" s="413"/>
      <c r="F70" s="413"/>
      <c r="G70" s="413"/>
      <c r="H70" s="413"/>
      <c r="I70" s="413"/>
      <c r="J70" s="410"/>
      <c r="K70" s="410"/>
      <c r="L70" s="410"/>
      <c r="M70" s="410"/>
      <c r="N70" s="410"/>
      <c r="O70" s="410"/>
      <c r="P70" s="410"/>
      <c r="Q70" s="410"/>
      <c r="R70" s="410"/>
      <c r="S70" s="411"/>
      <c r="T70" s="411"/>
      <c r="U70" s="411"/>
      <c r="V70" s="411"/>
      <c r="W70" s="412"/>
      <c r="X70" s="412"/>
    </row>
    <row r="71" spans="2:24" s="30" customFormat="1" ht="38.25">
      <c r="B71" s="75" t="s">
        <v>2</v>
      </c>
      <c r="C71" s="76" t="s">
        <v>34</v>
      </c>
      <c r="D71" s="407">
        <f>SUM(D72:D74)</f>
        <v>138.5</v>
      </c>
      <c r="E71" s="407">
        <f t="shared" ref="E71:U71" si="22">SUM(E72:E74)</f>
        <v>132</v>
      </c>
      <c r="F71" s="407">
        <f t="shared" si="22"/>
        <v>103.5</v>
      </c>
      <c r="G71" s="407">
        <f t="shared" si="22"/>
        <v>100</v>
      </c>
      <c r="H71" s="407">
        <f t="shared" si="22"/>
        <v>115.5</v>
      </c>
      <c r="I71" s="407">
        <f t="shared" si="22"/>
        <v>103</v>
      </c>
      <c r="J71" s="408">
        <f t="shared" si="22"/>
        <v>98118.41</v>
      </c>
      <c r="K71" s="408">
        <f t="shared" si="22"/>
        <v>134007.44999999998</v>
      </c>
      <c r="L71" s="408">
        <f t="shared" si="22"/>
        <v>98922.15</v>
      </c>
      <c r="M71" s="408">
        <f>P71+S71+V71</f>
        <v>44768.880000000005</v>
      </c>
      <c r="N71" s="408">
        <f>SUM(N72:N74)</f>
        <v>49857.71</v>
      </c>
      <c r="O71" s="408">
        <f>SUM(O72:O74)</f>
        <v>32933.579999999994</v>
      </c>
      <c r="P71" s="408">
        <f>SUM(P72:P74)</f>
        <v>43665.91</v>
      </c>
      <c r="Q71" s="408">
        <f>SUM(Q72:Q74)</f>
        <v>47203.710000000006</v>
      </c>
      <c r="R71" s="408">
        <f>SUM(R72:R74)</f>
        <v>31329.239999999998</v>
      </c>
      <c r="S71" s="408">
        <f t="shared" si="22"/>
        <v>0</v>
      </c>
      <c r="T71" s="408">
        <f t="shared" si="22"/>
        <v>0</v>
      </c>
      <c r="U71" s="408">
        <f t="shared" si="22"/>
        <v>0</v>
      </c>
      <c r="V71" s="408">
        <f>SUM(V72:V74)</f>
        <v>1102.97</v>
      </c>
      <c r="W71" s="408">
        <f>SUM(W72:W74)</f>
        <v>2654</v>
      </c>
      <c r="X71" s="408">
        <f>SUM(X72:X74)</f>
        <v>1604.3400000000001</v>
      </c>
    </row>
    <row r="72" spans="2:24" ht="20.25">
      <c r="B72" s="75"/>
      <c r="C72" s="74" t="s">
        <v>105</v>
      </c>
      <c r="D72" s="491">
        <v>70</v>
      </c>
      <c r="E72" s="491">
        <v>72</v>
      </c>
      <c r="F72" s="491">
        <v>53</v>
      </c>
      <c r="G72" s="491">
        <v>60</v>
      </c>
      <c r="H72" s="491">
        <v>53</v>
      </c>
      <c r="I72" s="491">
        <v>55</v>
      </c>
      <c r="J72" s="492">
        <v>62911.7</v>
      </c>
      <c r="K72" s="492">
        <v>92845.34</v>
      </c>
      <c r="L72" s="492">
        <v>74417.37</v>
      </c>
      <c r="M72" s="492">
        <f>P72+S72+V72</f>
        <v>26990.35</v>
      </c>
      <c r="N72" s="492">
        <f>Q72+T72+W72</f>
        <v>30081.75</v>
      </c>
      <c r="O72" s="492">
        <f t="shared" ref="N72:O74" si="23">R72+U72+X72</f>
        <v>19067.62</v>
      </c>
      <c r="P72" s="492">
        <v>25990.35</v>
      </c>
      <c r="Q72" s="492">
        <v>27581.75</v>
      </c>
      <c r="R72" s="492">
        <v>17605.689999999999</v>
      </c>
      <c r="S72" s="492">
        <v>0</v>
      </c>
      <c r="T72" s="492">
        <v>0</v>
      </c>
      <c r="U72" s="492">
        <v>0</v>
      </c>
      <c r="V72" s="492">
        <v>1000</v>
      </c>
      <c r="W72" s="492">
        <v>2500</v>
      </c>
      <c r="X72" s="492">
        <v>1461.93</v>
      </c>
    </row>
    <row r="73" spans="2:24" ht="51">
      <c r="B73" s="416">
        <v>1</v>
      </c>
      <c r="C73" s="74" t="s">
        <v>96</v>
      </c>
      <c r="D73" s="491">
        <v>8.5</v>
      </c>
      <c r="E73" s="491">
        <v>0</v>
      </c>
      <c r="F73" s="491">
        <v>6.5</v>
      </c>
      <c r="G73" s="491">
        <v>0</v>
      </c>
      <c r="H73" s="491">
        <v>6.5</v>
      </c>
      <c r="I73" s="491">
        <v>5</v>
      </c>
      <c r="J73" s="492">
        <f>1346.87+100.52</f>
        <v>1447.3899999999999</v>
      </c>
      <c r="K73" s="492">
        <f>2321.96+100.52</f>
        <v>2422.48</v>
      </c>
      <c r="L73" s="492">
        <f>2283.41+100.52</f>
        <v>2383.9299999999998</v>
      </c>
      <c r="M73" s="492">
        <f>P73+S73+V73</f>
        <v>599.51</v>
      </c>
      <c r="N73" s="492">
        <f t="shared" si="23"/>
        <v>1524.76</v>
      </c>
      <c r="O73" s="492">
        <f>R73+U73+X73</f>
        <v>1524.76</v>
      </c>
      <c r="P73" s="492">
        <v>522.30999999999995</v>
      </c>
      <c r="Q73" s="492">
        <v>1447.56</v>
      </c>
      <c r="R73" s="492">
        <v>1447.56</v>
      </c>
      <c r="S73" s="492">
        <v>0</v>
      </c>
      <c r="T73" s="492">
        <v>0</v>
      </c>
      <c r="U73" s="492">
        <v>0</v>
      </c>
      <c r="V73" s="492">
        <v>77.2</v>
      </c>
      <c r="W73" s="492">
        <f>V73</f>
        <v>77.2</v>
      </c>
      <c r="X73" s="492">
        <f>W73</f>
        <v>77.2</v>
      </c>
    </row>
    <row r="74" spans="2:24" ht="25.5">
      <c r="B74" s="416">
        <v>2</v>
      </c>
      <c r="C74" s="74" t="s">
        <v>97</v>
      </c>
      <c r="D74" s="491">
        <v>60</v>
      </c>
      <c r="E74" s="491">
        <v>60</v>
      </c>
      <c r="F74" s="491">
        <v>44</v>
      </c>
      <c r="G74" s="491">
        <v>40</v>
      </c>
      <c r="H74" s="491">
        <v>56</v>
      </c>
      <c r="I74" s="491">
        <v>43</v>
      </c>
      <c r="J74" s="492">
        <v>33759.32</v>
      </c>
      <c r="K74" s="492">
        <v>38739.629999999997</v>
      </c>
      <c r="L74" s="492">
        <v>22120.85</v>
      </c>
      <c r="M74" s="492">
        <f>P74+S74+V74</f>
        <v>17179.02</v>
      </c>
      <c r="N74" s="492">
        <v>18251.2</v>
      </c>
      <c r="O74" s="492">
        <f t="shared" si="23"/>
        <v>12341.199999999999</v>
      </c>
      <c r="P74" s="492">
        <v>17153.25</v>
      </c>
      <c r="Q74" s="492">
        <v>18174.400000000001</v>
      </c>
      <c r="R74" s="492">
        <v>12275.99</v>
      </c>
      <c r="S74" s="492">
        <v>0</v>
      </c>
      <c r="T74" s="492">
        <v>0</v>
      </c>
      <c r="U74" s="492">
        <v>0</v>
      </c>
      <c r="V74" s="492">
        <v>25.77</v>
      </c>
      <c r="W74" s="492">
        <v>76.8</v>
      </c>
      <c r="X74" s="492">
        <v>65.209999999999994</v>
      </c>
    </row>
    <row r="75" spans="2:24" ht="18.75">
      <c r="B75" s="402"/>
      <c r="C75" s="403"/>
      <c r="D75" s="404"/>
      <c r="E75" s="404"/>
      <c r="F75" s="404"/>
      <c r="G75" s="404"/>
      <c r="H75" s="404"/>
      <c r="I75" s="404"/>
      <c r="J75" s="405"/>
      <c r="K75" s="405"/>
      <c r="L75" s="405"/>
      <c r="M75" s="405"/>
      <c r="N75" s="405"/>
      <c r="O75" s="405"/>
      <c r="P75" s="405"/>
      <c r="Q75" s="405"/>
      <c r="R75" s="405"/>
      <c r="S75" s="405"/>
      <c r="T75" s="405"/>
      <c r="U75" s="405"/>
      <c r="V75" s="405"/>
      <c r="W75" s="405"/>
      <c r="X75" s="405"/>
    </row>
    <row r="76" spans="2:24" ht="28.5" thickBot="1">
      <c r="B76" s="625">
        <v>621</v>
      </c>
      <c r="C76" s="302"/>
      <c r="D76" s="302">
        <f>D81-D85</f>
        <v>0</v>
      </c>
      <c r="E76" s="302">
        <f t="shared" ref="E76:X76" si="24">E81-E85</f>
        <v>0</v>
      </c>
      <c r="F76" s="302">
        <f t="shared" si="24"/>
        <v>0</v>
      </c>
      <c r="G76" s="302">
        <f t="shared" si="24"/>
        <v>0</v>
      </c>
      <c r="H76" s="302">
        <f t="shared" si="24"/>
        <v>0</v>
      </c>
      <c r="I76" s="302">
        <f t="shared" si="24"/>
        <v>0</v>
      </c>
      <c r="J76" s="302">
        <f t="shared" si="24"/>
        <v>0</v>
      </c>
      <c r="K76" s="302">
        <f t="shared" si="24"/>
        <v>0</v>
      </c>
      <c r="L76" s="302">
        <f t="shared" si="24"/>
        <v>0</v>
      </c>
      <c r="M76" s="302">
        <f t="shared" si="24"/>
        <v>0</v>
      </c>
      <c r="N76" s="302">
        <f t="shared" si="24"/>
        <v>0</v>
      </c>
      <c r="O76" s="302">
        <f t="shared" si="24"/>
        <v>0</v>
      </c>
      <c r="P76" s="302">
        <f t="shared" si="24"/>
        <v>0</v>
      </c>
      <c r="Q76" s="302">
        <f t="shared" si="24"/>
        <v>0</v>
      </c>
      <c r="R76" s="302">
        <f t="shared" si="24"/>
        <v>0</v>
      </c>
      <c r="S76" s="302">
        <f t="shared" si="24"/>
        <v>0</v>
      </c>
      <c r="T76" s="302">
        <f t="shared" si="24"/>
        <v>0</v>
      </c>
      <c r="U76" s="302">
        <f t="shared" si="24"/>
        <v>0</v>
      </c>
      <c r="V76" s="302">
        <f t="shared" si="24"/>
        <v>0</v>
      </c>
      <c r="W76" s="302">
        <f t="shared" si="24"/>
        <v>0</v>
      </c>
      <c r="X76" s="8">
        <f t="shared" si="24"/>
        <v>0</v>
      </c>
    </row>
    <row r="77" spans="2:24">
      <c r="B77" s="777"/>
      <c r="C77" s="704" t="s">
        <v>30</v>
      </c>
      <c r="D77" s="707" t="s">
        <v>38</v>
      </c>
      <c r="E77" s="708"/>
      <c r="F77" s="707" t="s">
        <v>39</v>
      </c>
      <c r="G77" s="708"/>
      <c r="H77" s="707" t="s">
        <v>37</v>
      </c>
      <c r="I77" s="708"/>
      <c r="J77" s="707" t="s">
        <v>50</v>
      </c>
      <c r="K77" s="708"/>
      <c r="L77" s="711"/>
      <c r="M77" s="707" t="s">
        <v>36</v>
      </c>
      <c r="N77" s="708"/>
      <c r="O77" s="711"/>
      <c r="P77" s="704" t="s">
        <v>32</v>
      </c>
      <c r="Q77" s="704"/>
      <c r="R77" s="704"/>
      <c r="S77" s="704"/>
      <c r="T77" s="704"/>
      <c r="U77" s="704"/>
      <c r="V77" s="704"/>
      <c r="W77" s="715"/>
      <c r="X77" s="716"/>
    </row>
    <row r="78" spans="2:24">
      <c r="B78" s="778"/>
      <c r="C78" s="705"/>
      <c r="D78" s="709"/>
      <c r="E78" s="710"/>
      <c r="F78" s="709"/>
      <c r="G78" s="710"/>
      <c r="H78" s="709"/>
      <c r="I78" s="710"/>
      <c r="J78" s="712"/>
      <c r="K78" s="713"/>
      <c r="L78" s="714"/>
      <c r="M78" s="712"/>
      <c r="N78" s="713"/>
      <c r="O78" s="714"/>
      <c r="P78" s="705" t="s">
        <v>53</v>
      </c>
      <c r="Q78" s="705"/>
      <c r="R78" s="705"/>
      <c r="S78" s="705" t="s">
        <v>54</v>
      </c>
      <c r="T78" s="705"/>
      <c r="U78" s="705"/>
      <c r="V78" s="705" t="s">
        <v>33</v>
      </c>
      <c r="W78" s="705"/>
      <c r="X78" s="717"/>
    </row>
    <row r="79" spans="2:24" ht="51.75" thickBot="1">
      <c r="B79" s="779"/>
      <c r="C79" s="706"/>
      <c r="D79" s="369" t="s">
        <v>49</v>
      </c>
      <c r="E79" s="369" t="s">
        <v>14</v>
      </c>
      <c r="F79" s="369" t="s">
        <v>49</v>
      </c>
      <c r="G79" s="369" t="s">
        <v>14</v>
      </c>
      <c r="H79" s="369" t="s">
        <v>49</v>
      </c>
      <c r="I79" s="369" t="s">
        <v>14</v>
      </c>
      <c r="J79" s="369" t="s">
        <v>48</v>
      </c>
      <c r="K79" s="369" t="s">
        <v>19</v>
      </c>
      <c r="L79" s="369" t="s">
        <v>31</v>
      </c>
      <c r="M79" s="369" t="s">
        <v>48</v>
      </c>
      <c r="N79" s="369" t="s">
        <v>19</v>
      </c>
      <c r="O79" s="369" t="s">
        <v>31</v>
      </c>
      <c r="P79" s="369" t="s">
        <v>48</v>
      </c>
      <c r="Q79" s="369" t="s">
        <v>19</v>
      </c>
      <c r="R79" s="369" t="s">
        <v>31</v>
      </c>
      <c r="S79" s="369" t="s">
        <v>48</v>
      </c>
      <c r="T79" s="369" t="s">
        <v>19</v>
      </c>
      <c r="U79" s="369" t="s">
        <v>31</v>
      </c>
      <c r="V79" s="369" t="s">
        <v>48</v>
      </c>
      <c r="W79" s="369" t="s">
        <v>19</v>
      </c>
      <c r="X79" s="68" t="s">
        <v>31</v>
      </c>
    </row>
    <row r="80" spans="2:24" ht="13.5" thickBot="1">
      <c r="B80" s="69">
        <v>1</v>
      </c>
      <c r="C80" s="70">
        <v>2</v>
      </c>
      <c r="D80" s="70">
        <v>3</v>
      </c>
      <c r="E80" s="71">
        <v>4</v>
      </c>
      <c r="F80" s="70">
        <v>5</v>
      </c>
      <c r="G80" s="70">
        <v>6</v>
      </c>
      <c r="H80" s="71">
        <v>7</v>
      </c>
      <c r="I80" s="70">
        <v>8</v>
      </c>
      <c r="J80" s="70">
        <v>9</v>
      </c>
      <c r="K80" s="71">
        <v>10</v>
      </c>
      <c r="L80" s="70">
        <v>11</v>
      </c>
      <c r="M80" s="70">
        <v>12</v>
      </c>
      <c r="N80" s="71">
        <v>13</v>
      </c>
      <c r="O80" s="70">
        <v>14</v>
      </c>
      <c r="P80" s="70">
        <v>15</v>
      </c>
      <c r="Q80" s="71">
        <v>16</v>
      </c>
      <c r="R80" s="70">
        <v>17</v>
      </c>
      <c r="S80" s="70">
        <v>18</v>
      </c>
      <c r="T80" s="71">
        <v>19</v>
      </c>
      <c r="U80" s="70">
        <v>20</v>
      </c>
      <c r="V80" s="70">
        <v>21</v>
      </c>
      <c r="W80" s="71">
        <v>22</v>
      </c>
      <c r="X80" s="72">
        <v>23</v>
      </c>
    </row>
    <row r="81" spans="1:24" ht="38.25">
      <c r="B81" s="79" t="s">
        <v>1</v>
      </c>
      <c r="C81" s="73" t="s">
        <v>3</v>
      </c>
      <c r="D81" s="289">
        <f>D82+D83+D84</f>
        <v>0</v>
      </c>
      <c r="E81" s="289">
        <f t="shared" ref="E81:F81" si="25">E82+E83+E84</f>
        <v>32</v>
      </c>
      <c r="F81" s="289">
        <f t="shared" si="25"/>
        <v>0</v>
      </c>
      <c r="G81" s="289">
        <f>G82</f>
        <v>23</v>
      </c>
      <c r="H81" s="289">
        <f t="shared" ref="H81" si="26">H82+H83+H84</f>
        <v>0</v>
      </c>
      <c r="I81" s="289">
        <f>I82</f>
        <v>23</v>
      </c>
      <c r="J81" s="290">
        <f>J82</f>
        <v>17694.8</v>
      </c>
      <c r="K81" s="290">
        <f>K82</f>
        <v>19358.52</v>
      </c>
      <c r="L81" s="290">
        <f t="shared" ref="L81:N81" si="27">L82+L83+L84</f>
        <v>13177.35</v>
      </c>
      <c r="M81" s="291">
        <f t="shared" si="27"/>
        <v>11072.913</v>
      </c>
      <c r="N81" s="291">
        <f t="shared" si="27"/>
        <v>12310.73</v>
      </c>
      <c r="O81" s="291">
        <f>O82+O83+O84</f>
        <v>8550.77</v>
      </c>
      <c r="P81" s="290">
        <f>P82+P83+P84</f>
        <v>11072.913</v>
      </c>
      <c r="Q81" s="290">
        <f t="shared" ref="Q81" si="28">Q82+Q83+Q84</f>
        <v>12310.73</v>
      </c>
      <c r="R81" s="290">
        <f>R82+V81+R84</f>
        <v>8550.77</v>
      </c>
      <c r="S81" s="234">
        <f t="shared" ref="S81:X81" si="29">S82+S83+S84</f>
        <v>0</v>
      </c>
      <c r="T81" s="234">
        <f t="shared" si="29"/>
        <v>0</v>
      </c>
      <c r="U81" s="234">
        <f t="shared" si="29"/>
        <v>0</v>
      </c>
      <c r="V81" s="234">
        <f t="shared" si="29"/>
        <v>0</v>
      </c>
      <c r="W81" s="234">
        <f t="shared" si="29"/>
        <v>0</v>
      </c>
      <c r="X81" s="235">
        <f t="shared" si="29"/>
        <v>0</v>
      </c>
    </row>
    <row r="82" spans="1:24" ht="23.25">
      <c r="B82" s="80" t="s">
        <v>20</v>
      </c>
      <c r="C82" s="74" t="s">
        <v>16</v>
      </c>
      <c r="D82" s="292">
        <f t="shared" ref="D82:O82" si="30">D85</f>
        <v>0</v>
      </c>
      <c r="E82" s="292">
        <f t="shared" si="30"/>
        <v>32</v>
      </c>
      <c r="F82" s="292">
        <f t="shared" si="30"/>
        <v>0</v>
      </c>
      <c r="G82" s="292">
        <f t="shared" si="30"/>
        <v>23</v>
      </c>
      <c r="H82" s="292">
        <f t="shared" si="30"/>
        <v>0</v>
      </c>
      <c r="I82" s="292">
        <f t="shared" si="30"/>
        <v>23</v>
      </c>
      <c r="J82" s="293">
        <f t="shared" si="30"/>
        <v>17694.8</v>
      </c>
      <c r="K82" s="293">
        <f t="shared" si="30"/>
        <v>19358.52</v>
      </c>
      <c r="L82" s="293">
        <f t="shared" si="30"/>
        <v>13177.35</v>
      </c>
      <c r="M82" s="294">
        <f t="shared" si="30"/>
        <v>11072.913</v>
      </c>
      <c r="N82" s="294">
        <f t="shared" si="30"/>
        <v>12310.73</v>
      </c>
      <c r="O82" s="294">
        <f t="shared" si="30"/>
        <v>8550.77</v>
      </c>
      <c r="P82" s="293">
        <f>M82</f>
        <v>11072.913</v>
      </c>
      <c r="Q82" s="293">
        <f>Q85</f>
        <v>12310.73</v>
      </c>
      <c r="R82" s="293">
        <f>R85</f>
        <v>8550.77</v>
      </c>
      <c r="S82" s="170"/>
      <c r="T82" s="170"/>
      <c r="U82" s="170"/>
      <c r="V82" s="170"/>
      <c r="W82" s="271"/>
      <c r="X82" s="237"/>
    </row>
    <row r="83" spans="1:24" ht="23.25">
      <c r="B83" s="80" t="s">
        <v>21</v>
      </c>
      <c r="C83" s="74" t="s">
        <v>17</v>
      </c>
      <c r="D83" s="292"/>
      <c r="E83" s="292"/>
      <c r="F83" s="292"/>
      <c r="G83" s="292"/>
      <c r="H83" s="292"/>
      <c r="I83" s="292"/>
      <c r="J83" s="293"/>
      <c r="K83" s="293"/>
      <c r="L83" s="293"/>
      <c r="M83" s="294"/>
      <c r="N83" s="294"/>
      <c r="O83" s="294"/>
      <c r="P83" s="406"/>
      <c r="Q83" s="406"/>
      <c r="R83" s="406"/>
      <c r="S83" s="170"/>
      <c r="T83" s="170"/>
      <c r="U83" s="170"/>
      <c r="V83" s="170"/>
      <c r="W83" s="271"/>
      <c r="X83" s="237"/>
    </row>
    <row r="84" spans="1:24" ht="23.25">
      <c r="B84" s="80" t="s">
        <v>22</v>
      </c>
      <c r="C84" s="74" t="s">
        <v>18</v>
      </c>
      <c r="D84" s="292"/>
      <c r="E84" s="292"/>
      <c r="F84" s="292"/>
      <c r="G84" s="292"/>
      <c r="H84" s="292"/>
      <c r="I84" s="292"/>
      <c r="J84" s="293"/>
      <c r="K84" s="293"/>
      <c r="L84" s="293"/>
      <c r="M84" s="294"/>
      <c r="N84" s="294"/>
      <c r="O84" s="294"/>
      <c r="P84" s="406"/>
      <c r="Q84" s="406"/>
      <c r="R84" s="406"/>
      <c r="S84" s="170"/>
      <c r="T84" s="170"/>
      <c r="U84" s="170"/>
      <c r="V84" s="170"/>
      <c r="W84" s="271"/>
      <c r="X84" s="237"/>
    </row>
    <row r="85" spans="1:24" ht="38.25">
      <c r="B85" s="75" t="s">
        <v>2</v>
      </c>
      <c r="C85" s="76" t="s">
        <v>34</v>
      </c>
      <c r="D85" s="297">
        <f>D86+D87+D88+D89+D90</f>
        <v>0</v>
      </c>
      <c r="E85" s="297">
        <f>E86+E87</f>
        <v>32</v>
      </c>
      <c r="F85" s="297">
        <f>F86+F87</f>
        <v>0</v>
      </c>
      <c r="G85" s="297">
        <f>G86+G87</f>
        <v>23</v>
      </c>
      <c r="H85" s="297">
        <f>H86+H87</f>
        <v>0</v>
      </c>
      <c r="I85" s="297">
        <f>I86+I87+I88+I89+I90</f>
        <v>23</v>
      </c>
      <c r="J85" s="290">
        <f>J86+J87</f>
        <v>17694.8</v>
      </c>
      <c r="K85" s="290">
        <f>K86+K87</f>
        <v>19358.52</v>
      </c>
      <c r="L85" s="290">
        <f>L86+L87</f>
        <v>13177.35</v>
      </c>
      <c r="M85" s="291">
        <f>M86+M87</f>
        <v>11072.913</v>
      </c>
      <c r="N85" s="291">
        <f>N86+N87+N88+N89+N90</f>
        <v>12310.73</v>
      </c>
      <c r="O85" s="291">
        <f>O86+O87+O88+O89+O90</f>
        <v>8550.77</v>
      </c>
      <c r="P85" s="290">
        <f>P86+P87+P88+P89+P90</f>
        <v>11072.913</v>
      </c>
      <c r="Q85" s="290">
        <f>Q86+Q87+Q88+Q89+Q90</f>
        <v>12310.73</v>
      </c>
      <c r="R85" s="290">
        <f>R86+R87</f>
        <v>8550.77</v>
      </c>
      <c r="S85" s="272">
        <f t="shared" ref="S85:X85" si="31">S86+S87+S88+S89+S90</f>
        <v>0</v>
      </c>
      <c r="T85" s="272">
        <f t="shared" si="31"/>
        <v>0</v>
      </c>
      <c r="U85" s="272">
        <f t="shared" si="31"/>
        <v>0</v>
      </c>
      <c r="V85" s="272">
        <f t="shared" si="31"/>
        <v>0</v>
      </c>
      <c r="W85" s="272">
        <f t="shared" si="31"/>
        <v>0</v>
      </c>
      <c r="X85" s="273">
        <f t="shared" si="31"/>
        <v>0</v>
      </c>
    </row>
    <row r="86" spans="1:24" ht="26.25">
      <c r="B86" s="81" t="s">
        <v>20</v>
      </c>
      <c r="C86" s="74" t="s">
        <v>121</v>
      </c>
      <c r="D86" s="510">
        <v>0</v>
      </c>
      <c r="E86" s="510">
        <v>32</v>
      </c>
      <c r="F86" s="510">
        <v>0</v>
      </c>
      <c r="G86" s="510">
        <v>23</v>
      </c>
      <c r="H86" s="510">
        <v>0</v>
      </c>
      <c r="I86" s="510">
        <v>23</v>
      </c>
      <c r="J86" s="511">
        <v>17694.8</v>
      </c>
      <c r="K86" s="511">
        <v>19358.52</v>
      </c>
      <c r="L86" s="511">
        <v>13177.35</v>
      </c>
      <c r="M86" s="511">
        <f>P86</f>
        <v>11072.913</v>
      </c>
      <c r="N86" s="511">
        <f t="shared" ref="N86:O86" si="32">Q86</f>
        <v>12310.73</v>
      </c>
      <c r="O86" s="511">
        <f t="shared" si="32"/>
        <v>8550.77</v>
      </c>
      <c r="P86" s="511">
        <v>11072.913</v>
      </c>
      <c r="Q86" s="511">
        <v>12310.73</v>
      </c>
      <c r="R86" s="511">
        <v>8550.77</v>
      </c>
      <c r="S86" s="274">
        <v>0</v>
      </c>
      <c r="T86" s="274">
        <v>0</v>
      </c>
      <c r="U86" s="274">
        <v>0</v>
      </c>
      <c r="V86" s="274">
        <v>0</v>
      </c>
      <c r="W86" s="275">
        <v>0</v>
      </c>
      <c r="X86" s="276">
        <v>0</v>
      </c>
    </row>
    <row r="87" spans="1:24" ht="23.25">
      <c r="B87" s="81" t="s">
        <v>21</v>
      </c>
      <c r="C87" s="74"/>
      <c r="D87" s="295"/>
      <c r="E87" s="295"/>
      <c r="F87" s="295"/>
      <c r="G87" s="295"/>
      <c r="H87" s="295"/>
      <c r="I87" s="295"/>
      <c r="J87" s="295"/>
      <c r="K87" s="295"/>
      <c r="L87" s="295"/>
      <c r="M87" s="294"/>
      <c r="N87" s="294"/>
      <c r="O87" s="294"/>
      <c r="P87" s="298"/>
      <c r="Q87" s="298"/>
      <c r="R87" s="294"/>
      <c r="S87" s="274">
        <v>0</v>
      </c>
      <c r="T87" s="274">
        <v>0</v>
      </c>
      <c r="U87" s="274">
        <v>0</v>
      </c>
      <c r="V87" s="274">
        <v>0</v>
      </c>
      <c r="W87" s="275">
        <v>0</v>
      </c>
      <c r="X87" s="276">
        <v>0</v>
      </c>
    </row>
    <row r="88" spans="1:24" ht="23.25">
      <c r="B88" s="81" t="s">
        <v>22</v>
      </c>
      <c r="C88" s="74" t="s">
        <v>35</v>
      </c>
      <c r="D88" s="299"/>
      <c r="E88" s="299"/>
      <c r="F88" s="299"/>
      <c r="G88" s="299"/>
      <c r="H88" s="299"/>
      <c r="I88" s="299"/>
      <c r="J88" s="299"/>
      <c r="K88" s="299"/>
      <c r="L88" s="299"/>
      <c r="M88" s="300"/>
      <c r="N88" s="300"/>
      <c r="O88" s="300"/>
      <c r="P88" s="301"/>
      <c r="Q88" s="301"/>
      <c r="R88" s="301"/>
      <c r="S88" s="277"/>
      <c r="T88" s="277"/>
      <c r="U88" s="277"/>
      <c r="V88" s="277"/>
      <c r="W88" s="278"/>
      <c r="X88" s="186"/>
    </row>
    <row r="89" spans="1:24" ht="23.25">
      <c r="B89" s="81" t="s">
        <v>23</v>
      </c>
      <c r="C89" s="74"/>
      <c r="D89" s="299"/>
      <c r="E89" s="299"/>
      <c r="F89" s="299"/>
      <c r="G89" s="299"/>
      <c r="H89" s="299"/>
      <c r="I89" s="299"/>
      <c r="J89" s="299"/>
      <c r="K89" s="299"/>
      <c r="L89" s="299"/>
      <c r="M89" s="300"/>
      <c r="N89" s="300"/>
      <c r="O89" s="300"/>
      <c r="P89" s="301"/>
      <c r="Q89" s="301"/>
      <c r="R89" s="301"/>
      <c r="S89" s="277"/>
      <c r="T89" s="277"/>
      <c r="U89" s="277"/>
      <c r="V89" s="277"/>
      <c r="W89" s="278"/>
      <c r="X89" s="186"/>
    </row>
    <row r="90" spans="1:24" ht="15.75" thickBot="1">
      <c r="B90" s="82" t="s">
        <v>24</v>
      </c>
      <c r="C90" s="83"/>
      <c r="D90" s="182"/>
      <c r="E90" s="182"/>
      <c r="F90" s="182"/>
      <c r="G90" s="182"/>
      <c r="H90" s="182"/>
      <c r="I90" s="182"/>
      <c r="J90" s="182"/>
      <c r="K90" s="182"/>
      <c r="L90" s="182"/>
      <c r="M90" s="279"/>
      <c r="N90" s="279"/>
      <c r="O90" s="279"/>
      <c r="P90" s="280"/>
      <c r="Q90" s="280"/>
      <c r="R90" s="280"/>
      <c r="S90" s="280"/>
      <c r="T90" s="280"/>
      <c r="U90" s="280"/>
      <c r="V90" s="280"/>
      <c r="W90" s="281"/>
      <c r="X90" s="187"/>
    </row>
    <row r="91" spans="1:24" ht="18.75">
      <c r="B91" s="402"/>
      <c r="C91" s="403"/>
      <c r="D91" s="404"/>
      <c r="E91" s="404"/>
      <c r="F91" s="404"/>
      <c r="G91" s="404"/>
      <c r="H91" s="404"/>
      <c r="I91" s="404"/>
      <c r="J91" s="405"/>
      <c r="K91" s="405"/>
      <c r="L91" s="405"/>
      <c r="M91" s="405"/>
      <c r="N91" s="405"/>
      <c r="O91" s="405"/>
      <c r="P91" s="405"/>
      <c r="Q91" s="405"/>
      <c r="R91" s="405"/>
      <c r="S91" s="405"/>
      <c r="T91" s="405"/>
      <c r="U91" s="405"/>
      <c r="V91" s="405"/>
      <c r="W91" s="405"/>
      <c r="X91" s="405"/>
    </row>
    <row r="92" spans="1:24" ht="28.5" thickBot="1">
      <c r="A92" s="282"/>
      <c r="B92" s="618">
        <v>624</v>
      </c>
      <c r="C92" s="302"/>
      <c r="D92" s="302">
        <f>D97-D101</f>
        <v>0</v>
      </c>
      <c r="E92" s="302">
        <f t="shared" ref="E92:X92" si="33">E97-E101</f>
        <v>0</v>
      </c>
      <c r="F92" s="302">
        <f t="shared" si="33"/>
        <v>0</v>
      </c>
      <c r="G92" s="302">
        <f t="shared" si="33"/>
        <v>0</v>
      </c>
      <c r="H92" s="302">
        <f t="shared" si="33"/>
        <v>0</v>
      </c>
      <c r="I92" s="302">
        <f t="shared" si="33"/>
        <v>0</v>
      </c>
      <c r="J92" s="302">
        <f t="shared" si="33"/>
        <v>0</v>
      </c>
      <c r="K92" s="302">
        <f t="shared" si="33"/>
        <v>0</v>
      </c>
      <c r="L92" s="302">
        <f t="shared" si="33"/>
        <v>0</v>
      </c>
      <c r="M92" s="302">
        <f t="shared" si="33"/>
        <v>0</v>
      </c>
      <c r="N92" s="302">
        <f t="shared" si="33"/>
        <v>0</v>
      </c>
      <c r="O92" s="302">
        <f t="shared" si="33"/>
        <v>0</v>
      </c>
      <c r="P92" s="302">
        <f t="shared" si="33"/>
        <v>0</v>
      </c>
      <c r="Q92" s="302">
        <f t="shared" si="33"/>
        <v>0</v>
      </c>
      <c r="R92" s="302">
        <f t="shared" si="33"/>
        <v>0</v>
      </c>
      <c r="S92" s="302">
        <f t="shared" si="33"/>
        <v>0</v>
      </c>
      <c r="T92" s="302">
        <f t="shared" si="33"/>
        <v>0</v>
      </c>
      <c r="U92" s="302">
        <f t="shared" si="33"/>
        <v>0</v>
      </c>
      <c r="V92" s="302">
        <f t="shared" si="33"/>
        <v>0</v>
      </c>
      <c r="W92" s="302">
        <f t="shared" si="33"/>
        <v>0</v>
      </c>
      <c r="X92" s="8">
        <f t="shared" si="33"/>
        <v>0</v>
      </c>
    </row>
    <row r="93" spans="1:24">
      <c r="A93" s="282"/>
      <c r="B93" s="771"/>
      <c r="C93" s="704" t="s">
        <v>30</v>
      </c>
      <c r="D93" s="707" t="s">
        <v>38</v>
      </c>
      <c r="E93" s="708"/>
      <c r="F93" s="707" t="s">
        <v>39</v>
      </c>
      <c r="G93" s="708"/>
      <c r="H93" s="707" t="s">
        <v>37</v>
      </c>
      <c r="I93" s="708"/>
      <c r="J93" s="707" t="s">
        <v>50</v>
      </c>
      <c r="K93" s="708"/>
      <c r="L93" s="711"/>
      <c r="M93" s="707" t="s">
        <v>36</v>
      </c>
      <c r="N93" s="708"/>
      <c r="O93" s="711"/>
      <c r="P93" s="704" t="s">
        <v>32</v>
      </c>
      <c r="Q93" s="704"/>
      <c r="R93" s="704"/>
      <c r="S93" s="704"/>
      <c r="T93" s="704"/>
      <c r="U93" s="704"/>
      <c r="V93" s="704"/>
      <c r="W93" s="715"/>
      <c r="X93" s="716"/>
    </row>
    <row r="94" spans="1:24">
      <c r="A94" s="282"/>
      <c r="B94" s="772"/>
      <c r="C94" s="705"/>
      <c r="D94" s="709"/>
      <c r="E94" s="710"/>
      <c r="F94" s="709"/>
      <c r="G94" s="710"/>
      <c r="H94" s="709"/>
      <c r="I94" s="710"/>
      <c r="J94" s="712"/>
      <c r="K94" s="713"/>
      <c r="L94" s="714"/>
      <c r="M94" s="712"/>
      <c r="N94" s="713"/>
      <c r="O94" s="714"/>
      <c r="P94" s="705" t="s">
        <v>53</v>
      </c>
      <c r="Q94" s="705"/>
      <c r="R94" s="705"/>
      <c r="S94" s="705" t="s">
        <v>54</v>
      </c>
      <c r="T94" s="705"/>
      <c r="U94" s="705"/>
      <c r="V94" s="705" t="s">
        <v>33</v>
      </c>
      <c r="W94" s="705"/>
      <c r="X94" s="717"/>
    </row>
    <row r="95" spans="1:24" ht="51.75" thickBot="1">
      <c r="A95" s="282"/>
      <c r="B95" s="773"/>
      <c r="C95" s="706"/>
      <c r="D95" s="67" t="s">
        <v>49</v>
      </c>
      <c r="E95" s="67" t="s">
        <v>14</v>
      </c>
      <c r="F95" s="67" t="s">
        <v>49</v>
      </c>
      <c r="G95" s="67" t="s">
        <v>14</v>
      </c>
      <c r="H95" s="67" t="s">
        <v>49</v>
      </c>
      <c r="I95" s="67" t="s">
        <v>14</v>
      </c>
      <c r="J95" s="67" t="s">
        <v>48</v>
      </c>
      <c r="K95" s="67" t="s">
        <v>19</v>
      </c>
      <c r="L95" s="67" t="s">
        <v>31</v>
      </c>
      <c r="M95" s="67" t="s">
        <v>48</v>
      </c>
      <c r="N95" s="67" t="s">
        <v>19</v>
      </c>
      <c r="O95" s="67" t="s">
        <v>31</v>
      </c>
      <c r="P95" s="67" t="s">
        <v>48</v>
      </c>
      <c r="Q95" s="67" t="s">
        <v>19</v>
      </c>
      <c r="R95" s="67" t="s">
        <v>31</v>
      </c>
      <c r="S95" s="67" t="s">
        <v>48</v>
      </c>
      <c r="T95" s="67" t="s">
        <v>19</v>
      </c>
      <c r="U95" s="67" t="s">
        <v>31</v>
      </c>
      <c r="V95" s="67" t="s">
        <v>48</v>
      </c>
      <c r="W95" s="67" t="s">
        <v>19</v>
      </c>
      <c r="X95" s="68" t="s">
        <v>31</v>
      </c>
    </row>
    <row r="96" spans="1:24" ht="13.5" thickBot="1">
      <c r="A96" s="282"/>
      <c r="B96" s="283">
        <v>1</v>
      </c>
      <c r="C96" s="70">
        <v>2</v>
      </c>
      <c r="D96" s="70">
        <v>3</v>
      </c>
      <c r="E96" s="71">
        <v>4</v>
      </c>
      <c r="F96" s="70">
        <v>5</v>
      </c>
      <c r="G96" s="70">
        <v>6</v>
      </c>
      <c r="H96" s="71">
        <v>7</v>
      </c>
      <c r="I96" s="70">
        <v>8</v>
      </c>
      <c r="J96" s="70">
        <v>9</v>
      </c>
      <c r="K96" s="71">
        <v>10</v>
      </c>
      <c r="L96" s="70">
        <v>11</v>
      </c>
      <c r="M96" s="70">
        <v>12</v>
      </c>
      <c r="N96" s="71">
        <v>13</v>
      </c>
      <c r="O96" s="70">
        <v>14</v>
      </c>
      <c r="P96" s="70">
        <v>15</v>
      </c>
      <c r="Q96" s="71">
        <v>16</v>
      </c>
      <c r="R96" s="70">
        <v>17</v>
      </c>
      <c r="S96" s="70">
        <v>18</v>
      </c>
      <c r="T96" s="71">
        <v>19</v>
      </c>
      <c r="U96" s="70">
        <v>20</v>
      </c>
      <c r="V96" s="70">
        <v>21</v>
      </c>
      <c r="W96" s="71">
        <v>22</v>
      </c>
      <c r="X96" s="72">
        <v>23</v>
      </c>
    </row>
    <row r="97" spans="1:24" ht="38.25">
      <c r="A97" s="282"/>
      <c r="B97" s="284" t="s">
        <v>1</v>
      </c>
      <c r="C97" s="73" t="s">
        <v>3</v>
      </c>
      <c r="D97" s="289">
        <f>D98+D99+D100</f>
        <v>146</v>
      </c>
      <c r="E97" s="289">
        <f t="shared" ref="E97:X97" si="34">E98+E99+E100</f>
        <v>165</v>
      </c>
      <c r="F97" s="289">
        <f t="shared" si="34"/>
        <v>144</v>
      </c>
      <c r="G97" s="289">
        <f>G98</f>
        <v>159</v>
      </c>
      <c r="H97" s="289">
        <f t="shared" si="34"/>
        <v>140</v>
      </c>
      <c r="I97" s="289">
        <f>I98</f>
        <v>150</v>
      </c>
      <c r="J97" s="290">
        <f>J98</f>
        <v>82251.69</v>
      </c>
      <c r="K97" s="290">
        <f>K98</f>
        <v>95673.68</v>
      </c>
      <c r="L97" s="290">
        <f t="shared" si="34"/>
        <v>61131.289999999994</v>
      </c>
      <c r="M97" s="291">
        <f t="shared" si="34"/>
        <v>50111.7</v>
      </c>
      <c r="N97" s="291">
        <f t="shared" si="34"/>
        <v>56042.59</v>
      </c>
      <c r="O97" s="291">
        <f>O98+O99+O100</f>
        <v>36827.9</v>
      </c>
      <c r="P97" s="290">
        <f>P98+P99+P100</f>
        <v>50111.7</v>
      </c>
      <c r="Q97" s="290">
        <f t="shared" si="34"/>
        <v>56042.59</v>
      </c>
      <c r="R97" s="290">
        <f>R98+V97+R100</f>
        <v>36827.9</v>
      </c>
      <c r="S97" s="234">
        <f t="shared" si="34"/>
        <v>0</v>
      </c>
      <c r="T97" s="234">
        <f t="shared" si="34"/>
        <v>0</v>
      </c>
      <c r="U97" s="234">
        <f t="shared" si="34"/>
        <v>0</v>
      </c>
      <c r="V97" s="234">
        <f t="shared" si="34"/>
        <v>0</v>
      </c>
      <c r="W97" s="234">
        <f t="shared" si="34"/>
        <v>0</v>
      </c>
      <c r="X97" s="235">
        <f t="shared" si="34"/>
        <v>0</v>
      </c>
    </row>
    <row r="98" spans="1:24" ht="23.25">
      <c r="A98" s="282"/>
      <c r="B98" s="285" t="s">
        <v>20</v>
      </c>
      <c r="C98" s="74" t="s">
        <v>16</v>
      </c>
      <c r="D98" s="292">
        <f t="shared" ref="D98:O98" si="35">D101</f>
        <v>146</v>
      </c>
      <c r="E98" s="292">
        <f t="shared" si="35"/>
        <v>165</v>
      </c>
      <c r="F98" s="292">
        <f t="shared" si="35"/>
        <v>144</v>
      </c>
      <c r="G98" s="292">
        <f t="shared" si="35"/>
        <v>159</v>
      </c>
      <c r="H98" s="292">
        <f t="shared" si="35"/>
        <v>140</v>
      </c>
      <c r="I98" s="292">
        <f t="shared" si="35"/>
        <v>150</v>
      </c>
      <c r="J98" s="292">
        <f t="shared" si="35"/>
        <v>82251.69</v>
      </c>
      <c r="K98" s="293">
        <f t="shared" si="35"/>
        <v>95673.68</v>
      </c>
      <c r="L98" s="293">
        <f t="shared" si="35"/>
        <v>61131.289999999994</v>
      </c>
      <c r="M98" s="294">
        <f t="shared" si="35"/>
        <v>50111.7</v>
      </c>
      <c r="N98" s="294">
        <f t="shared" si="35"/>
        <v>56042.59</v>
      </c>
      <c r="O98" s="294">
        <f t="shared" si="35"/>
        <v>36827.9</v>
      </c>
      <c r="P98" s="293">
        <f>M98</f>
        <v>50111.7</v>
      </c>
      <c r="Q98" s="293">
        <f>Q101</f>
        <v>56042.59</v>
      </c>
      <c r="R98" s="293">
        <f>R101</f>
        <v>36827.9</v>
      </c>
      <c r="S98" s="170"/>
      <c r="T98" s="170"/>
      <c r="U98" s="170"/>
      <c r="V98" s="170"/>
      <c r="W98" s="271"/>
      <c r="X98" s="237"/>
    </row>
    <row r="99" spans="1:24" ht="23.25">
      <c r="A99" s="282"/>
      <c r="B99" s="285" t="s">
        <v>21</v>
      </c>
      <c r="C99" s="74" t="s">
        <v>17</v>
      </c>
      <c r="D99" s="292"/>
      <c r="E99" s="292"/>
      <c r="F99" s="292"/>
      <c r="G99" s="292"/>
      <c r="H99" s="292"/>
      <c r="I99" s="292"/>
      <c r="J99" s="292"/>
      <c r="K99" s="292"/>
      <c r="L99" s="292"/>
      <c r="M99" s="295"/>
      <c r="N99" s="295"/>
      <c r="O99" s="295"/>
      <c r="P99" s="296"/>
      <c r="Q99" s="296"/>
      <c r="R99" s="296"/>
      <c r="S99" s="170"/>
      <c r="T99" s="170"/>
      <c r="U99" s="170"/>
      <c r="V99" s="170"/>
      <c r="W99" s="271"/>
      <c r="X99" s="237"/>
    </row>
    <row r="100" spans="1:24" ht="23.25">
      <c r="A100" s="282"/>
      <c r="B100" s="285" t="s">
        <v>22</v>
      </c>
      <c r="C100" s="74" t="s">
        <v>18</v>
      </c>
      <c r="D100" s="292"/>
      <c r="E100" s="292"/>
      <c r="F100" s="292"/>
      <c r="G100" s="292"/>
      <c r="H100" s="292"/>
      <c r="I100" s="292"/>
      <c r="J100" s="292"/>
      <c r="K100" s="292"/>
      <c r="L100" s="292"/>
      <c r="M100" s="295"/>
      <c r="N100" s="295"/>
      <c r="O100" s="295"/>
      <c r="P100" s="296"/>
      <c r="Q100" s="296"/>
      <c r="R100" s="296"/>
      <c r="S100" s="170"/>
      <c r="T100" s="170"/>
      <c r="U100" s="170"/>
      <c r="V100" s="170"/>
      <c r="W100" s="271"/>
      <c r="X100" s="237"/>
    </row>
    <row r="101" spans="1:24" ht="38.25">
      <c r="A101" s="282"/>
      <c r="B101" s="286" t="s">
        <v>2</v>
      </c>
      <c r="C101" s="76" t="s">
        <v>34</v>
      </c>
      <c r="D101" s="297">
        <f>D102+D103+D104+D105+D106</f>
        <v>146</v>
      </c>
      <c r="E101" s="297">
        <f>E102+E103</f>
        <v>165</v>
      </c>
      <c r="F101" s="297">
        <f>F102+F103</f>
        <v>144</v>
      </c>
      <c r="G101" s="297">
        <f>G102+G103</f>
        <v>159</v>
      </c>
      <c r="H101" s="297">
        <f>H102+H103</f>
        <v>140</v>
      </c>
      <c r="I101" s="297">
        <f>I102+I103+I104+I105+I106</f>
        <v>150</v>
      </c>
      <c r="J101" s="290">
        <f>J102+J103</f>
        <v>82251.69</v>
      </c>
      <c r="K101" s="290">
        <f>K102+K103</f>
        <v>95673.68</v>
      </c>
      <c r="L101" s="290">
        <f>L102+L103</f>
        <v>61131.289999999994</v>
      </c>
      <c r="M101" s="291">
        <f>M102+M103</f>
        <v>50111.7</v>
      </c>
      <c r="N101" s="291">
        <f>N102+N103+N104+N105+N106</f>
        <v>56042.59</v>
      </c>
      <c r="O101" s="291">
        <f>O102+O103+O104+O105+O106</f>
        <v>36827.9</v>
      </c>
      <c r="P101" s="290">
        <f>P102+P103+P104+P105+P106</f>
        <v>50111.7</v>
      </c>
      <c r="Q101" s="290">
        <f>Q102+Q103+Q104+Q105+Q106</f>
        <v>56042.59</v>
      </c>
      <c r="R101" s="290">
        <f>R102+R103</f>
        <v>36827.9</v>
      </c>
      <c r="S101" s="272">
        <f t="shared" ref="S101:X101" si="36">S102+S103+S104+S105+S106</f>
        <v>0</v>
      </c>
      <c r="T101" s="272">
        <f t="shared" si="36"/>
        <v>0</v>
      </c>
      <c r="U101" s="272">
        <f t="shared" si="36"/>
        <v>0</v>
      </c>
      <c r="V101" s="272">
        <f t="shared" si="36"/>
        <v>0</v>
      </c>
      <c r="W101" s="272">
        <f t="shared" si="36"/>
        <v>0</v>
      </c>
      <c r="X101" s="273">
        <f t="shared" si="36"/>
        <v>0</v>
      </c>
    </row>
    <row r="102" spans="1:24" ht="25.5">
      <c r="A102" s="282"/>
      <c r="B102" s="287" t="s">
        <v>20</v>
      </c>
      <c r="C102" s="74" t="s">
        <v>99</v>
      </c>
      <c r="D102" s="295">
        <v>63</v>
      </c>
      <c r="E102" s="295">
        <v>80</v>
      </c>
      <c r="F102" s="295">
        <v>61</v>
      </c>
      <c r="G102" s="295">
        <v>77</v>
      </c>
      <c r="H102" s="295">
        <v>62</v>
      </c>
      <c r="I102" s="295">
        <v>72</v>
      </c>
      <c r="J102" s="294">
        <v>36226.07</v>
      </c>
      <c r="K102" s="294">
        <v>46390.09</v>
      </c>
      <c r="L102" s="294">
        <v>29334.53</v>
      </c>
      <c r="M102" s="294">
        <f t="shared" ref="M102:O103" si="37">P102</f>
        <v>23707.26</v>
      </c>
      <c r="N102" s="294">
        <f t="shared" si="37"/>
        <v>29158.03</v>
      </c>
      <c r="O102" s="294">
        <f t="shared" si="37"/>
        <v>18957.66</v>
      </c>
      <c r="P102" s="298">
        <v>23707.26</v>
      </c>
      <c r="Q102" s="298">
        <v>29158.03</v>
      </c>
      <c r="R102" s="294">
        <v>18957.66</v>
      </c>
      <c r="S102" s="274">
        <v>0</v>
      </c>
      <c r="T102" s="274">
        <v>0</v>
      </c>
      <c r="U102" s="274">
        <v>0</v>
      </c>
      <c r="V102" s="274">
        <v>0</v>
      </c>
      <c r="W102" s="275">
        <v>0</v>
      </c>
      <c r="X102" s="276">
        <v>0</v>
      </c>
    </row>
    <row r="103" spans="1:24" ht="25.5">
      <c r="A103" s="282"/>
      <c r="B103" s="287" t="s">
        <v>21</v>
      </c>
      <c r="C103" s="74" t="s">
        <v>100</v>
      </c>
      <c r="D103" s="295">
        <v>83</v>
      </c>
      <c r="E103" s="295">
        <v>85</v>
      </c>
      <c r="F103" s="295">
        <v>83</v>
      </c>
      <c r="G103" s="295">
        <v>82</v>
      </c>
      <c r="H103" s="295">
        <v>78</v>
      </c>
      <c r="I103" s="295">
        <v>78</v>
      </c>
      <c r="J103" s="294">
        <v>46025.62</v>
      </c>
      <c r="K103" s="294">
        <v>49283.59</v>
      </c>
      <c r="L103" s="298">
        <v>31796.76</v>
      </c>
      <c r="M103" s="294">
        <f t="shared" si="37"/>
        <v>26404.44</v>
      </c>
      <c r="N103" s="294">
        <f t="shared" si="37"/>
        <v>26884.560000000001</v>
      </c>
      <c r="O103" s="298">
        <f t="shared" si="37"/>
        <v>17870.240000000002</v>
      </c>
      <c r="P103" s="298">
        <v>26404.44</v>
      </c>
      <c r="Q103" s="298">
        <v>26884.560000000001</v>
      </c>
      <c r="R103" s="294">
        <v>17870.240000000002</v>
      </c>
      <c r="S103" s="274">
        <v>0</v>
      </c>
      <c r="T103" s="274">
        <v>0</v>
      </c>
      <c r="U103" s="274">
        <v>0</v>
      </c>
      <c r="V103" s="274">
        <v>0</v>
      </c>
      <c r="W103" s="275">
        <v>0</v>
      </c>
      <c r="X103" s="276">
        <v>0</v>
      </c>
    </row>
    <row r="104" spans="1:24" ht="23.25">
      <c r="A104" s="282"/>
      <c r="B104" s="287" t="s">
        <v>22</v>
      </c>
      <c r="C104" s="74" t="s">
        <v>35</v>
      </c>
      <c r="D104" s="299"/>
      <c r="E104" s="299"/>
      <c r="F104" s="299"/>
      <c r="G104" s="299"/>
      <c r="H104" s="299"/>
      <c r="I104" s="299"/>
      <c r="J104" s="299"/>
      <c r="K104" s="299"/>
      <c r="L104" s="299"/>
      <c r="M104" s="300"/>
      <c r="N104" s="300"/>
      <c r="O104" s="300"/>
      <c r="P104" s="301"/>
      <c r="Q104" s="301"/>
      <c r="R104" s="301"/>
      <c r="S104" s="277"/>
      <c r="T104" s="277"/>
      <c r="U104" s="277"/>
      <c r="V104" s="277"/>
      <c r="W104" s="278"/>
      <c r="X104" s="186"/>
    </row>
    <row r="105" spans="1:24" ht="23.25">
      <c r="A105" s="282"/>
      <c r="B105" s="287" t="s">
        <v>23</v>
      </c>
      <c r="C105" s="74"/>
      <c r="D105" s="299"/>
      <c r="E105" s="299"/>
      <c r="F105" s="299"/>
      <c r="G105" s="299"/>
      <c r="H105" s="299"/>
      <c r="I105" s="299"/>
      <c r="J105" s="299"/>
      <c r="K105" s="299"/>
      <c r="L105" s="299"/>
      <c r="M105" s="300"/>
      <c r="N105" s="300"/>
      <c r="O105" s="300"/>
      <c r="P105" s="301"/>
      <c r="Q105" s="301"/>
      <c r="R105" s="301"/>
      <c r="S105" s="277"/>
      <c r="T105" s="277"/>
      <c r="U105" s="277"/>
      <c r="V105" s="277"/>
      <c r="W105" s="278"/>
      <c r="X105" s="186"/>
    </row>
    <row r="106" spans="1:24" ht="15.75" thickBot="1">
      <c r="A106" s="282"/>
      <c r="B106" s="288" t="s">
        <v>24</v>
      </c>
      <c r="C106" s="83"/>
      <c r="D106" s="182"/>
      <c r="E106" s="182"/>
      <c r="F106" s="182"/>
      <c r="G106" s="182"/>
      <c r="H106" s="182"/>
      <c r="I106" s="182"/>
      <c r="J106" s="182"/>
      <c r="K106" s="182"/>
      <c r="L106" s="182"/>
      <c r="M106" s="279"/>
      <c r="N106" s="279"/>
      <c r="O106" s="279"/>
      <c r="P106" s="280"/>
      <c r="Q106" s="280"/>
      <c r="R106" s="280"/>
      <c r="S106" s="280"/>
      <c r="T106" s="280"/>
      <c r="U106" s="280"/>
      <c r="V106" s="280"/>
      <c r="W106" s="281"/>
      <c r="X106" s="187"/>
    </row>
  </sheetData>
  <mergeCells count="69">
    <mergeCell ref="L14:U14"/>
    <mergeCell ref="B17:X17"/>
    <mergeCell ref="P19:X19"/>
    <mergeCell ref="F19:G20"/>
    <mergeCell ref="M19:O20"/>
    <mergeCell ref="B19:B21"/>
    <mergeCell ref="C19:C21"/>
    <mergeCell ref="D19:E20"/>
    <mergeCell ref="H19:I20"/>
    <mergeCell ref="H48:I49"/>
    <mergeCell ref="R2:X2"/>
    <mergeCell ref="R4:X4"/>
    <mergeCell ref="R5:X5"/>
    <mergeCell ref="R6:X6"/>
    <mergeCell ref="P20:R20"/>
    <mergeCell ref="S20:U20"/>
    <mergeCell ref="V20:X20"/>
    <mergeCell ref="R7:X7"/>
    <mergeCell ref="R8:X8"/>
    <mergeCell ref="J19:L20"/>
    <mergeCell ref="B11:X11"/>
    <mergeCell ref="B12:X12"/>
    <mergeCell ref="B13:X13"/>
    <mergeCell ref="B15:X15"/>
    <mergeCell ref="B16:X16"/>
    <mergeCell ref="J48:L49"/>
    <mergeCell ref="M48:O49"/>
    <mergeCell ref="P48:X48"/>
    <mergeCell ref="P49:R49"/>
    <mergeCell ref="S49:U49"/>
    <mergeCell ref="V49:X49"/>
    <mergeCell ref="H93:I94"/>
    <mergeCell ref="J93:L94"/>
    <mergeCell ref="J63:L64"/>
    <mergeCell ref="M63:O64"/>
    <mergeCell ref="P63:X63"/>
    <mergeCell ref="P64:R64"/>
    <mergeCell ref="S64:U64"/>
    <mergeCell ref="V64:X64"/>
    <mergeCell ref="M93:O94"/>
    <mergeCell ref="P93:X93"/>
    <mergeCell ref="P94:R94"/>
    <mergeCell ref="S94:U94"/>
    <mergeCell ref="V94:X94"/>
    <mergeCell ref="H63:I64"/>
    <mergeCell ref="A37:C44"/>
    <mergeCell ref="B93:B95"/>
    <mergeCell ref="C93:C95"/>
    <mergeCell ref="D93:E94"/>
    <mergeCell ref="F93:G94"/>
    <mergeCell ref="B63:B65"/>
    <mergeCell ref="C63:C65"/>
    <mergeCell ref="D63:E64"/>
    <mergeCell ref="F63:G64"/>
    <mergeCell ref="B48:B50"/>
    <mergeCell ref="C48:C50"/>
    <mergeCell ref="D48:E49"/>
    <mergeCell ref="F48:G49"/>
    <mergeCell ref="B77:B79"/>
    <mergeCell ref="C77:C79"/>
    <mergeCell ref="D77:E78"/>
    <mergeCell ref="F77:G78"/>
    <mergeCell ref="H77:I78"/>
    <mergeCell ref="J77:L78"/>
    <mergeCell ref="M77:O78"/>
    <mergeCell ref="P77:X77"/>
    <mergeCell ref="P78:R78"/>
    <mergeCell ref="S78:U78"/>
    <mergeCell ref="V78:X78"/>
  </mergeCells>
  <phoneticPr fontId="2" type="noConversion"/>
  <pageMargins left="0.19685039370078741" right="0.19685039370078741" top="0.94488188976377963" bottom="0.39370078740157483" header="0.98425196850393704" footer="0.51181102362204722"/>
  <pageSetup paperSize="9" scale="36" orientation="landscape" r:id="rId1"/>
  <headerFooter alignWithMargins="0"/>
  <rowBreaks count="1" manualBreakCount="1">
    <brk id="35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B1:H30"/>
  <sheetViews>
    <sheetView topLeftCell="A6" workbookViewId="0">
      <selection activeCell="B8" sqref="B8:H30"/>
    </sheetView>
  </sheetViews>
  <sheetFormatPr defaultRowHeight="12.75"/>
  <cols>
    <col min="2" max="2" width="18.5703125" customWidth="1"/>
    <col min="3" max="3" width="16.42578125" customWidth="1"/>
    <col min="4" max="4" width="11.28515625" customWidth="1"/>
    <col min="5" max="5" width="15.42578125" customWidth="1"/>
    <col min="7" max="7" width="15.5703125" customWidth="1"/>
    <col min="8" max="8" width="18.7109375" customWidth="1"/>
  </cols>
  <sheetData>
    <row r="1" spans="2:8">
      <c r="H1" t="s">
        <v>68</v>
      </c>
    </row>
    <row r="2" spans="2:8">
      <c r="H2" s="1" t="s">
        <v>75</v>
      </c>
    </row>
    <row r="3" spans="2:8">
      <c r="H3" s="1" t="s">
        <v>76</v>
      </c>
    </row>
    <row r="4" spans="2:8">
      <c r="H4" s="1" t="s">
        <v>79</v>
      </c>
    </row>
    <row r="5" spans="2:8">
      <c r="H5" s="1" t="s">
        <v>77</v>
      </c>
    </row>
    <row r="6" spans="2:8">
      <c r="H6" s="1" t="s">
        <v>78</v>
      </c>
    </row>
    <row r="7" spans="2:8">
      <c r="H7" s="1"/>
    </row>
    <row r="8" spans="2:8" ht="18.75">
      <c r="B8" s="784" t="s">
        <v>60</v>
      </c>
      <c r="C8" s="784"/>
      <c r="D8" s="784"/>
      <c r="E8" s="784"/>
      <c r="F8" s="784"/>
      <c r="G8" s="784"/>
      <c r="H8" s="784"/>
    </row>
    <row r="9" spans="2:8" ht="18.75">
      <c r="B9" s="784" t="s">
        <v>61</v>
      </c>
      <c r="C9" s="784"/>
      <c r="D9" s="784"/>
      <c r="E9" s="784"/>
      <c r="F9" s="784"/>
      <c r="G9" s="784"/>
      <c r="H9" s="784"/>
    </row>
    <row r="10" spans="2:8" ht="18.75">
      <c r="B10" s="784" t="s">
        <v>62</v>
      </c>
      <c r="C10" s="784"/>
      <c r="D10" s="784"/>
      <c r="E10" s="784"/>
      <c r="F10" s="784"/>
      <c r="G10" s="784"/>
      <c r="H10" s="784"/>
    </row>
    <row r="12" spans="2:8" ht="68.25" customHeight="1">
      <c r="B12" s="2" t="s">
        <v>30</v>
      </c>
      <c r="C12" s="785" t="s">
        <v>69</v>
      </c>
      <c r="D12" s="786"/>
      <c r="E12" s="787"/>
      <c r="F12" s="785" t="s">
        <v>63</v>
      </c>
      <c r="G12" s="786"/>
      <c r="H12" s="787"/>
    </row>
    <row r="13" spans="2:8" ht="15">
      <c r="B13" s="3">
        <v>1</v>
      </c>
      <c r="C13" s="792">
        <v>2</v>
      </c>
      <c r="D13" s="793"/>
      <c r="E13" s="794"/>
      <c r="F13" s="792">
        <v>3</v>
      </c>
      <c r="G13" s="793"/>
      <c r="H13" s="794"/>
    </row>
    <row r="14" spans="2:8" ht="31.5">
      <c r="B14" s="4" t="s">
        <v>70</v>
      </c>
      <c r="C14" s="789"/>
      <c r="D14" s="790"/>
      <c r="E14" s="791"/>
      <c r="F14" s="795"/>
      <c r="G14" s="796"/>
      <c r="H14" s="797"/>
    </row>
    <row r="15" spans="2:8" ht="15.75">
      <c r="B15" s="5"/>
      <c r="C15" s="5"/>
      <c r="D15" s="5"/>
      <c r="E15" s="5"/>
      <c r="F15" s="788"/>
      <c r="G15" s="788"/>
      <c r="H15" s="6"/>
    </row>
    <row r="16" spans="2:8" ht="15.75">
      <c r="B16" s="5"/>
      <c r="C16" s="5"/>
      <c r="D16" s="5"/>
      <c r="E16" s="5"/>
      <c r="F16" s="5"/>
      <c r="G16" s="5"/>
      <c r="H16" s="5"/>
    </row>
    <row r="17" spans="2:8" ht="18.75">
      <c r="B17" s="783" t="s">
        <v>64</v>
      </c>
      <c r="C17" s="783"/>
      <c r="D17" s="783"/>
      <c r="E17" s="783"/>
      <c r="F17" s="783"/>
      <c r="G17" s="783"/>
      <c r="H17" s="783"/>
    </row>
    <row r="18" spans="2:8" ht="18.75">
      <c r="B18" s="783" t="s">
        <v>65</v>
      </c>
      <c r="C18" s="783"/>
      <c r="D18" s="783"/>
      <c r="E18" s="783"/>
      <c r="F18" s="783"/>
      <c r="G18" s="783"/>
      <c r="H18" s="783"/>
    </row>
    <row r="19" spans="2:8" ht="18.75">
      <c r="B19" s="784" t="s">
        <v>66</v>
      </c>
      <c r="C19" s="784"/>
      <c r="D19" s="784"/>
      <c r="E19" s="784"/>
      <c r="F19" s="784"/>
      <c r="G19" s="784"/>
      <c r="H19" s="784"/>
    </row>
    <row r="20" spans="2:8" ht="15.75">
      <c r="B20" s="7"/>
      <c r="C20" s="7"/>
      <c r="D20" s="7"/>
      <c r="E20" s="7"/>
      <c r="F20" s="7"/>
      <c r="G20" s="7"/>
      <c r="H20" s="7"/>
    </row>
    <row r="21" spans="2:8" ht="79.5" customHeight="1">
      <c r="B21" s="785" t="s">
        <v>73</v>
      </c>
      <c r="C21" s="787"/>
      <c r="D21" s="798" t="s">
        <v>71</v>
      </c>
      <c r="E21" s="798"/>
      <c r="F21" s="798"/>
      <c r="G21" s="798" t="s">
        <v>72</v>
      </c>
      <c r="H21" s="798"/>
    </row>
    <row r="22" spans="2:8" ht="15">
      <c r="B22" s="799">
        <v>1</v>
      </c>
      <c r="C22" s="800"/>
      <c r="D22" s="799">
        <v>2</v>
      </c>
      <c r="E22" s="801"/>
      <c r="F22" s="800"/>
      <c r="G22" s="799">
        <v>3</v>
      </c>
      <c r="H22" s="800"/>
    </row>
    <row r="23" spans="2:8" ht="18.75">
      <c r="B23" s="802"/>
      <c r="C23" s="803"/>
      <c r="D23" s="804"/>
      <c r="E23" s="804"/>
      <c r="F23" s="804"/>
      <c r="G23" s="805"/>
      <c r="H23" s="805"/>
    </row>
    <row r="24" spans="2:8" ht="18.75">
      <c r="B24" s="802"/>
      <c r="C24" s="803"/>
      <c r="D24" s="804"/>
      <c r="E24" s="804"/>
      <c r="F24" s="804"/>
      <c r="G24" s="805"/>
      <c r="H24" s="805"/>
    </row>
    <row r="25" spans="2:8" ht="18.75">
      <c r="B25" s="802"/>
      <c r="C25" s="803"/>
      <c r="D25" s="804"/>
      <c r="E25" s="804"/>
      <c r="F25" s="804"/>
      <c r="G25" s="805"/>
      <c r="H25" s="805"/>
    </row>
    <row r="26" spans="2:8" ht="18.75">
      <c r="B26" s="802"/>
      <c r="C26" s="803"/>
      <c r="D26" s="804"/>
      <c r="E26" s="804"/>
      <c r="F26" s="804"/>
      <c r="G26" s="805"/>
      <c r="H26" s="805"/>
    </row>
    <row r="27" spans="2:8" ht="18.75">
      <c r="B27" s="802"/>
      <c r="C27" s="803"/>
      <c r="D27" s="804"/>
      <c r="E27" s="804"/>
      <c r="F27" s="804"/>
      <c r="G27" s="805"/>
      <c r="H27" s="805"/>
    </row>
    <row r="28" spans="2:8" ht="18.75">
      <c r="B28" s="802"/>
      <c r="C28" s="803"/>
      <c r="D28" s="804"/>
      <c r="E28" s="804"/>
      <c r="F28" s="804"/>
      <c r="G28" s="805"/>
      <c r="H28" s="805"/>
    </row>
    <row r="29" spans="2:8" ht="18.75">
      <c r="B29" s="806" t="s">
        <v>67</v>
      </c>
      <c r="C29" s="807"/>
      <c r="D29" s="804"/>
      <c r="E29" s="804"/>
      <c r="F29" s="804"/>
      <c r="G29" s="805"/>
      <c r="H29" s="805"/>
    </row>
    <row r="30" spans="2:8" ht="15.75">
      <c r="B30" s="7"/>
      <c r="C30" s="7"/>
      <c r="D30" s="7"/>
      <c r="E30" s="7"/>
      <c r="F30" s="7"/>
      <c r="G30" s="7"/>
      <c r="H30" s="7"/>
    </row>
  </sheetData>
  <mergeCells count="40">
    <mergeCell ref="B29:C29"/>
    <mergeCell ref="D29:F29"/>
    <mergeCell ref="G29:H29"/>
    <mergeCell ref="B27:C27"/>
    <mergeCell ref="D27:F27"/>
    <mergeCell ref="G27:H27"/>
    <mergeCell ref="B28:C28"/>
    <mergeCell ref="D28:F28"/>
    <mergeCell ref="G28:H28"/>
    <mergeCell ref="B25:C25"/>
    <mergeCell ref="D25:F25"/>
    <mergeCell ref="G25:H25"/>
    <mergeCell ref="B26:C26"/>
    <mergeCell ref="D26:F26"/>
    <mergeCell ref="G26:H26"/>
    <mergeCell ref="B23:C23"/>
    <mergeCell ref="D23:F23"/>
    <mergeCell ref="G23:H23"/>
    <mergeCell ref="B24:C24"/>
    <mergeCell ref="D24:F24"/>
    <mergeCell ref="G24:H24"/>
    <mergeCell ref="B19:H19"/>
    <mergeCell ref="B21:C21"/>
    <mergeCell ref="D21:F21"/>
    <mergeCell ref="G21:H21"/>
    <mergeCell ref="B22:C22"/>
    <mergeCell ref="D22:F22"/>
    <mergeCell ref="G22:H22"/>
    <mergeCell ref="B18:H18"/>
    <mergeCell ref="B8:H8"/>
    <mergeCell ref="B9:H9"/>
    <mergeCell ref="B10:H10"/>
    <mergeCell ref="C12:E12"/>
    <mergeCell ref="F12:H12"/>
    <mergeCell ref="F15:G15"/>
    <mergeCell ref="B17:H17"/>
    <mergeCell ref="C14:E14"/>
    <mergeCell ref="C13:E13"/>
    <mergeCell ref="F13:H13"/>
    <mergeCell ref="F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органы управления </vt:lpstr>
      <vt:lpstr>образование+молодежка</vt:lpstr>
      <vt:lpstr>культура</vt:lpstr>
      <vt:lpstr>физ-ра</vt:lpstr>
      <vt:lpstr>прочие..</vt:lpstr>
      <vt:lpstr>свод приложение 6</vt:lpstr>
      <vt:lpstr>'образование+молодежка'!Заголовки_для_печати</vt:lpstr>
      <vt:lpstr>культура!Область_печати</vt:lpstr>
      <vt:lpstr>'образование+молодежка'!Область_печати</vt:lpstr>
      <vt:lpstr>'органы управления '!Область_печати</vt:lpstr>
      <vt:lpstr>прочие..!Область_печати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Loner-XP</dc:creator>
  <cp:lastModifiedBy>T.Harchenko</cp:lastModifiedBy>
  <cp:lastPrinted>2021-10-26T13:18:41Z</cp:lastPrinted>
  <dcterms:created xsi:type="dcterms:W3CDTF">2010-03-14T16:25:27Z</dcterms:created>
  <dcterms:modified xsi:type="dcterms:W3CDTF">2021-11-16T15:06:04Z</dcterms:modified>
</cp:coreProperties>
</file>